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defaultThemeVersion="124226"/>
  <bookViews>
    <workbookView xWindow="-120" yWindow="-120" windowWidth="23256" windowHeight="13176"/>
  </bookViews>
  <sheets>
    <sheet name="Hlavní hřiště" sheetId="20" r:id="rId1"/>
    <sheet name="Tréninkové hřiště" sheetId="26" state="hidden" r:id="rId2"/>
    <sheet name="Podklad dle ceníku 2024" sheetId="25" state="hidden" r:id="rId3"/>
  </sheets>
  <definedNames>
    <definedName name="_FilterDatabase" localSheetId="2" hidden="1">'Podklad dle ceníku 2024'!$A$5:$O$141</definedName>
    <definedName name="cis_hnojiva">'Podklad dle ceníku 2024'!$A$5:$A$201</definedName>
    <definedName name="_xlnm.Print_Area" localSheetId="0">'Hlavní hřiště'!$A$2:$U$38</definedName>
    <definedName name="PodkladDleCeniku">'Podklad dle ceníku 2024'!$A$6:$O$983</definedName>
    <definedName name="Print_Area" localSheetId="0">'Hlavní hřiště'!$A$1:$U$32</definedName>
    <definedName name="Print_Area" localSheetId="1">'Tréninkové hřiště'!$A$1:$U$35</definedName>
  </definedNames>
  <calcPr calcId="12451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1" i="26"/>
  <c r="F8" i="25" l="1"/>
  <c r="A10"/>
  <c r="A9"/>
  <c r="A8"/>
  <c r="A7"/>
  <c r="A34" l="1"/>
  <c r="A33"/>
  <c r="A32"/>
  <c r="A31"/>
  <c r="A30"/>
  <c r="A29"/>
  <c r="A28"/>
  <c r="A27"/>
  <c r="A22"/>
  <c r="A21"/>
  <c r="A20"/>
  <c r="A26"/>
  <c r="A25"/>
  <c r="A24"/>
  <c r="A23"/>
  <c r="J25" i="20" l="1"/>
  <c r="J26" i="26"/>
  <c r="J25"/>
  <c r="J24"/>
  <c r="J23"/>
  <c r="J22"/>
  <c r="J20"/>
  <c r="J19"/>
  <c r="J18"/>
  <c r="J27" l="1"/>
  <c r="O2" i="25" l="1"/>
  <c r="N2"/>
  <c r="M2"/>
  <c r="L2"/>
  <c r="K2"/>
  <c r="J2"/>
  <c r="I2"/>
  <c r="H2"/>
  <c r="G2"/>
  <c r="F2"/>
  <c r="E2"/>
  <c r="D2"/>
  <c r="C2"/>
  <c r="B2"/>
  <c r="A2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15" l="1"/>
  <c r="A44"/>
  <c r="A11"/>
  <c r="A12"/>
  <c r="A13"/>
  <c r="A14"/>
  <c r="A6"/>
  <c r="K17" i="20" s="1"/>
  <c r="A35" i="25"/>
  <c r="A18"/>
  <c r="A19"/>
  <c r="A36"/>
  <c r="A37"/>
  <c r="A16"/>
  <c r="A17"/>
  <c r="A38"/>
  <c r="A39"/>
  <c r="A40"/>
  <c r="A41"/>
  <c r="A42"/>
  <c r="A43"/>
  <c r="S24" i="20" l="1"/>
  <c r="T24" s="1"/>
  <c r="U24" s="1"/>
  <c r="C24"/>
  <c r="S23"/>
  <c r="T23" s="1"/>
  <c r="U23" s="1"/>
  <c r="H21"/>
  <c r="Q21" s="1"/>
  <c r="I24"/>
  <c r="R24" s="1"/>
  <c r="E24"/>
  <c r="N24" s="1"/>
  <c r="F23"/>
  <c r="O23" s="1"/>
  <c r="S21"/>
  <c r="T21" s="1"/>
  <c r="U21" s="1"/>
  <c r="G21"/>
  <c r="P21" s="1"/>
  <c r="C21"/>
  <c r="D23"/>
  <c r="M23" s="1"/>
  <c r="E21"/>
  <c r="N21" s="1"/>
  <c r="G23"/>
  <c r="P23" s="1"/>
  <c r="D21"/>
  <c r="M21" s="1"/>
  <c r="H24"/>
  <c r="Q24" s="1"/>
  <c r="D24"/>
  <c r="M24" s="1"/>
  <c r="I23"/>
  <c r="R23" s="1"/>
  <c r="E23"/>
  <c r="N23" s="1"/>
  <c r="F21"/>
  <c r="O21" s="1"/>
  <c r="G24"/>
  <c r="P24" s="1"/>
  <c r="H23"/>
  <c r="Q23" s="1"/>
  <c r="I21"/>
  <c r="R21" s="1"/>
  <c r="F24"/>
  <c r="O24" s="1"/>
  <c r="C23"/>
  <c r="K23"/>
  <c r="K21"/>
  <c r="K24"/>
  <c r="K19" i="26"/>
  <c r="K20"/>
  <c r="K24"/>
  <c r="K23"/>
  <c r="K22"/>
  <c r="K25"/>
  <c r="K26"/>
  <c r="S21"/>
  <c r="T21" s="1"/>
  <c r="U21" s="1"/>
  <c r="G21"/>
  <c r="P21" s="1"/>
  <c r="F21"/>
  <c r="O21" s="1"/>
  <c r="C21"/>
  <c r="I21"/>
  <c r="R21" s="1"/>
  <c r="E21"/>
  <c r="N21" s="1"/>
  <c r="H21"/>
  <c r="Q21" s="1"/>
  <c r="D21"/>
  <c r="M21" s="1"/>
  <c r="K21"/>
  <c r="G17" i="20"/>
  <c r="P17" s="1"/>
  <c r="C18"/>
  <c r="I17"/>
  <c r="R17" s="1"/>
  <c r="E17"/>
  <c r="N17" s="1"/>
  <c r="H17"/>
  <c r="Q17" s="1"/>
  <c r="D17"/>
  <c r="M17" s="1"/>
  <c r="S17"/>
  <c r="T17" s="1"/>
  <c r="U17" s="1"/>
  <c r="C17"/>
  <c r="F17"/>
  <c r="O17" s="1"/>
  <c r="K18"/>
  <c r="K22"/>
  <c r="K19"/>
  <c r="K20"/>
  <c r="S26" i="26"/>
  <c r="T26" s="1"/>
  <c r="U26" s="1"/>
  <c r="G26"/>
  <c r="P26" s="1"/>
  <c r="C26"/>
  <c r="H25"/>
  <c r="Q25" s="1"/>
  <c r="D25"/>
  <c r="M25" s="1"/>
  <c r="I24"/>
  <c r="R24" s="1"/>
  <c r="E24"/>
  <c r="N24" s="1"/>
  <c r="F23"/>
  <c r="O23" s="1"/>
  <c r="S22"/>
  <c r="T22" s="1"/>
  <c r="U22" s="1"/>
  <c r="G22"/>
  <c r="P22" s="1"/>
  <c r="C22"/>
  <c r="I20"/>
  <c r="R20" s="1"/>
  <c r="E20"/>
  <c r="N20" s="1"/>
  <c r="F19"/>
  <c r="O19" s="1"/>
  <c r="G18"/>
  <c r="P18" s="1"/>
  <c r="F26"/>
  <c r="O26" s="1"/>
  <c r="S25"/>
  <c r="T25" s="1"/>
  <c r="U25" s="1"/>
  <c r="G25"/>
  <c r="P25" s="1"/>
  <c r="C25"/>
  <c r="H24"/>
  <c r="Q24" s="1"/>
  <c r="D24"/>
  <c r="M24" s="1"/>
  <c r="I23"/>
  <c r="R23" s="1"/>
  <c r="E23"/>
  <c r="N23" s="1"/>
  <c r="F22"/>
  <c r="O22" s="1"/>
  <c r="H20"/>
  <c r="Q20" s="1"/>
  <c r="D20"/>
  <c r="M20" s="1"/>
  <c r="I19"/>
  <c r="R19" s="1"/>
  <c r="E19"/>
  <c r="N19" s="1"/>
  <c r="F18"/>
  <c r="O18" s="1"/>
  <c r="I26"/>
  <c r="R26" s="1"/>
  <c r="E26"/>
  <c r="N26" s="1"/>
  <c r="F25"/>
  <c r="O25" s="1"/>
  <c r="S24"/>
  <c r="T24" s="1"/>
  <c r="U24" s="1"/>
  <c r="G24"/>
  <c r="P24" s="1"/>
  <c r="C24"/>
  <c r="H23"/>
  <c r="Q23" s="1"/>
  <c r="D23"/>
  <c r="M23" s="1"/>
  <c r="I22"/>
  <c r="R22" s="1"/>
  <c r="E22"/>
  <c r="N22" s="1"/>
  <c r="S20"/>
  <c r="T20" s="1"/>
  <c r="U20" s="1"/>
  <c r="G20"/>
  <c r="P20" s="1"/>
  <c r="C20"/>
  <c r="H19"/>
  <c r="Q19" s="1"/>
  <c r="D19"/>
  <c r="M19" s="1"/>
  <c r="I18"/>
  <c r="R18" s="1"/>
  <c r="E18"/>
  <c r="N18" s="1"/>
  <c r="D18"/>
  <c r="M18" s="1"/>
  <c r="C18"/>
  <c r="H26"/>
  <c r="Q26" s="1"/>
  <c r="D26"/>
  <c r="M26" s="1"/>
  <c r="I25"/>
  <c r="R25" s="1"/>
  <c r="E25"/>
  <c r="N25" s="1"/>
  <c r="F24"/>
  <c r="O24" s="1"/>
  <c r="S23"/>
  <c r="T23" s="1"/>
  <c r="U23" s="1"/>
  <c r="G23"/>
  <c r="P23" s="1"/>
  <c r="C23"/>
  <c r="H22"/>
  <c r="Q22" s="1"/>
  <c r="D22"/>
  <c r="M22" s="1"/>
  <c r="F20"/>
  <c r="O20" s="1"/>
  <c r="S19"/>
  <c r="T19" s="1"/>
  <c r="U19" s="1"/>
  <c r="G19"/>
  <c r="P19" s="1"/>
  <c r="C19"/>
  <c r="H18"/>
  <c r="Q18" s="1"/>
  <c r="K18"/>
  <c r="I22" i="20"/>
  <c r="R22" s="1"/>
  <c r="G20"/>
  <c r="P20" s="1"/>
  <c r="E18"/>
  <c r="N18" s="1"/>
  <c r="C20"/>
  <c r="H22"/>
  <c r="Q22" s="1"/>
  <c r="F20"/>
  <c r="O20" s="1"/>
  <c r="D18"/>
  <c r="M18" s="1"/>
  <c r="G22"/>
  <c r="P22" s="1"/>
  <c r="E20"/>
  <c r="N20" s="1"/>
  <c r="F22"/>
  <c r="O22" s="1"/>
  <c r="D20"/>
  <c r="M20" s="1"/>
  <c r="H20"/>
  <c r="Q20" s="1"/>
  <c r="E22"/>
  <c r="N22" s="1"/>
  <c r="I18"/>
  <c r="R18" s="1"/>
  <c r="D22"/>
  <c r="M22" s="1"/>
  <c r="H18"/>
  <c r="Q18" s="1"/>
  <c r="F18"/>
  <c r="O18" s="1"/>
  <c r="I20"/>
  <c r="R20" s="1"/>
  <c r="G18"/>
  <c r="P18" s="1"/>
  <c r="C22"/>
  <c r="F140" i="25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92"/>
  <c r="F91"/>
  <c r="F90"/>
  <c r="F89"/>
  <c r="F88"/>
  <c r="F87"/>
  <c r="F86"/>
  <c r="F85"/>
  <c r="F84"/>
  <c r="F83"/>
  <c r="F82"/>
  <c r="F81"/>
  <c r="F80"/>
  <c r="F79"/>
  <c r="F78"/>
  <c r="F77"/>
  <c r="F76"/>
  <c r="F74"/>
  <c r="F73"/>
  <c r="F72"/>
  <c r="F71"/>
  <c r="F70"/>
  <c r="F69"/>
  <c r="F68"/>
  <c r="F67"/>
  <c r="F66"/>
  <c r="F65"/>
  <c r="F64"/>
  <c r="F63"/>
  <c r="F62"/>
  <c r="S18" i="26"/>
  <c r="T18" s="1"/>
  <c r="F52" i="25"/>
  <c r="F51"/>
  <c r="F50"/>
  <c r="F49"/>
  <c r="F48"/>
  <c r="F47"/>
  <c r="F46"/>
  <c r="F44"/>
  <c r="F43"/>
  <c r="F42"/>
  <c r="S18" i="20"/>
  <c r="T18" s="1"/>
  <c r="S19"/>
  <c r="S20"/>
  <c r="T20" s="1"/>
  <c r="U20" s="1"/>
  <c r="K27" i="26" l="1"/>
  <c r="Q27"/>
  <c r="U18" i="20"/>
  <c r="K25"/>
  <c r="T27" i="26"/>
  <c r="T29" s="1"/>
  <c r="U29" s="1"/>
  <c r="U18"/>
  <c r="U27" s="1"/>
  <c r="R27"/>
  <c r="O27"/>
  <c r="S22" i="20"/>
  <c r="T22" s="1"/>
  <c r="U22" s="1"/>
  <c r="M27" i="26"/>
  <c r="P27"/>
  <c r="N27"/>
  <c r="G19" i="20"/>
  <c r="P19" s="1"/>
  <c r="F19"/>
  <c r="O19" s="1"/>
  <c r="H19"/>
  <c r="Q19" s="1"/>
  <c r="E19"/>
  <c r="N19" s="1"/>
  <c r="D19"/>
  <c r="M19" s="1"/>
  <c r="C19"/>
  <c r="I19"/>
  <c r="R19" s="1"/>
  <c r="O25" l="1"/>
  <c r="M25"/>
  <c r="N25"/>
  <c r="P25"/>
  <c r="R25"/>
  <c r="Q25"/>
  <c r="T19"/>
  <c r="T25" l="1"/>
  <c r="U19"/>
  <c r="U25" s="1"/>
</calcChain>
</file>

<file path=xl/sharedStrings.xml><?xml version="1.0" encoding="utf-8"?>
<sst xmlns="http://schemas.openxmlformats.org/spreadsheetml/2006/main" count="765" uniqueCount="448">
  <si>
    <t>N</t>
  </si>
  <si>
    <t>MgO</t>
  </si>
  <si>
    <t xml:space="preserve">N </t>
  </si>
  <si>
    <t>Měsíc</t>
  </si>
  <si>
    <t>Dávka</t>
  </si>
  <si>
    <t>Celkem</t>
  </si>
  <si>
    <t>Kč/kg</t>
  </si>
  <si>
    <t>Celkem Kč</t>
  </si>
  <si>
    <t>duben</t>
  </si>
  <si>
    <t>květen</t>
  </si>
  <si>
    <t>červen</t>
  </si>
  <si>
    <t>červenec</t>
  </si>
  <si>
    <t>září</t>
  </si>
  <si>
    <t>říjen</t>
  </si>
  <si>
    <t xml:space="preserve">bez DPH </t>
  </si>
  <si>
    <t>Název hnojiva</t>
  </si>
  <si>
    <t>Fe</t>
  </si>
  <si>
    <t>S</t>
  </si>
  <si>
    <t>Ledek vápenatý</t>
  </si>
  <si>
    <t>srpen</t>
  </si>
  <si>
    <t>Močovina</t>
  </si>
  <si>
    <t>Agromix NPK</t>
  </si>
  <si>
    <t>Ledek amonný s vápencem</t>
  </si>
  <si>
    <t>Greenmaster ProLite Double K</t>
  </si>
  <si>
    <t>Greenmaster ProLite Autumn</t>
  </si>
  <si>
    <t>Greenmaster ProLite NK</t>
  </si>
  <si>
    <t xml:space="preserve">Plán hnojení pro: </t>
  </si>
  <si>
    <t>Obsah živin v %</t>
  </si>
  <si>
    <t>Produkt /</t>
  </si>
  <si>
    <t xml:space="preserve"> Plocha:</t>
  </si>
  <si>
    <t>Hlavní hřiště</t>
  </si>
  <si>
    <t>Tréninkové hřiště</t>
  </si>
  <si>
    <r>
      <t>Množství živin g/m</t>
    </r>
    <r>
      <rPr>
        <b/>
        <vertAlign val="superscript"/>
        <sz val="9"/>
        <color indexed="8"/>
        <rFont val="Arial"/>
        <family val="2"/>
      </rPr>
      <t>2</t>
    </r>
  </si>
  <si>
    <r>
      <t>P</t>
    </r>
    <r>
      <rPr>
        <b/>
        <vertAlign val="subscript"/>
        <sz val="9"/>
        <color indexed="8"/>
        <rFont val="Arial"/>
        <family val="2"/>
      </rPr>
      <t>2</t>
    </r>
    <r>
      <rPr>
        <b/>
        <sz val="9"/>
        <color indexed="8"/>
        <rFont val="Arial"/>
        <family val="2"/>
      </rPr>
      <t>O</t>
    </r>
    <r>
      <rPr>
        <b/>
        <vertAlign val="subscript"/>
        <sz val="9"/>
        <color indexed="8"/>
        <rFont val="Arial"/>
        <family val="2"/>
      </rPr>
      <t>5</t>
    </r>
  </si>
  <si>
    <r>
      <t>K</t>
    </r>
    <r>
      <rPr>
        <b/>
        <vertAlign val="subscript"/>
        <sz val="9"/>
        <color indexed="8"/>
        <rFont val="Arial"/>
        <family val="2"/>
      </rPr>
      <t>2</t>
    </r>
    <r>
      <rPr>
        <b/>
        <sz val="9"/>
        <color indexed="8"/>
        <rFont val="Arial"/>
        <family val="2"/>
      </rPr>
      <t>O</t>
    </r>
  </si>
  <si>
    <t xml:space="preserve">    AGRO CS a.s.</t>
  </si>
  <si>
    <t>listopad</t>
  </si>
  <si>
    <t>březen</t>
  </si>
  <si>
    <t>Sleva:</t>
  </si>
  <si>
    <t>%</t>
  </si>
  <si>
    <t>Kč po slevě:</t>
  </si>
  <si>
    <t>FENIX Balanced Spring</t>
  </si>
  <si>
    <t>FENIX Balanced Autumn</t>
  </si>
  <si>
    <t>SEZNAM HNOJIV A PODPŮRNÝCH PROSTŘEDKŮ PRO PLÁN HNOJENÍ 2019</t>
  </si>
  <si>
    <t>Dlouhodobě působící hnojiva FENIX</t>
  </si>
  <si>
    <t>dodací číslo</t>
  </si>
  <si>
    <t>název</t>
  </si>
  <si>
    <t>složení</t>
  </si>
  <si>
    <t>balení</t>
  </si>
  <si>
    <t>Kč/bal.</t>
  </si>
  <si>
    <t>071675</t>
  </si>
  <si>
    <t>FENIX Basic Pre-seed</t>
  </si>
  <si>
    <t>15-20-10+3MgO</t>
  </si>
  <si>
    <t>20 kg</t>
  </si>
  <si>
    <t>071676</t>
  </si>
  <si>
    <t>22-05-11+2MgO</t>
  </si>
  <si>
    <t>071677</t>
  </si>
  <si>
    <t xml:space="preserve">FENIX Basic Summer </t>
  </si>
  <si>
    <t>19-00-19+2MgO</t>
  </si>
  <si>
    <t>071678</t>
  </si>
  <si>
    <t>FENIX Basic Autumn</t>
  </si>
  <si>
    <t>13-00-26+2MgO</t>
  </si>
  <si>
    <t>071679</t>
  </si>
  <si>
    <t>071680</t>
  </si>
  <si>
    <t xml:space="preserve">FENIX Balanced Summer </t>
  </si>
  <si>
    <t>19-08-19+2MgO</t>
  </si>
  <si>
    <t>071681</t>
  </si>
  <si>
    <t>13-05-24+3MgO</t>
  </si>
  <si>
    <t>071682</t>
  </si>
  <si>
    <t>FENIX Premium Spring</t>
  </si>
  <si>
    <t>22-05-11+3MgO</t>
  </si>
  <si>
    <t>071683</t>
  </si>
  <si>
    <t xml:space="preserve">FENIX Premium Summer </t>
  </si>
  <si>
    <t>19-00-19+3MgO</t>
  </si>
  <si>
    <t>071684</t>
  </si>
  <si>
    <t>FENIX Premium Autumn</t>
  </si>
  <si>
    <t>13-00-26+3MgO</t>
  </si>
  <si>
    <t>071793</t>
  </si>
  <si>
    <t>21-05-06+2,5MgO</t>
  </si>
  <si>
    <t>071791</t>
  </si>
  <si>
    <t>071787</t>
  </si>
  <si>
    <t>19-19-05+2MgO</t>
  </si>
  <si>
    <t>071789</t>
  </si>
  <si>
    <t>071788</t>
  </si>
  <si>
    <t>13-05-16+2MgO</t>
  </si>
  <si>
    <t>Hnojiva AGRO</t>
  </si>
  <si>
    <t>071222</t>
  </si>
  <si>
    <t>071223</t>
  </si>
  <si>
    <t>10-10-30</t>
  </si>
  <si>
    <t>071231</t>
  </si>
  <si>
    <t>15-15-15</t>
  </si>
  <si>
    <t>071224</t>
  </si>
  <si>
    <t>Profi - Trávníkové hnojivo SPRINT</t>
  </si>
  <si>
    <t>27-06-06+2S</t>
  </si>
  <si>
    <t>000331</t>
  </si>
  <si>
    <t>Okrasné dřeviny</t>
  </si>
  <si>
    <t>000314</t>
  </si>
  <si>
    <t>15-00-00</t>
  </si>
  <si>
    <t>000313</t>
  </si>
  <si>
    <t>27-00-00</t>
  </si>
  <si>
    <t>071438</t>
  </si>
  <si>
    <t>46-00-00</t>
  </si>
  <si>
    <t>15 kg</t>
  </si>
  <si>
    <t>000391</t>
  </si>
  <si>
    <t xml:space="preserve">Agro NPK </t>
  </si>
  <si>
    <t>11-07-07</t>
  </si>
  <si>
    <t>000338</t>
  </si>
  <si>
    <t xml:space="preserve">Síran amonný </t>
  </si>
  <si>
    <t>21-00-00+23S</t>
  </si>
  <si>
    <t>071233</t>
  </si>
  <si>
    <t xml:space="preserve">Síran amonný tříděný </t>
  </si>
  <si>
    <t>20-00-00+23S</t>
  </si>
  <si>
    <t>000318</t>
  </si>
  <si>
    <t xml:space="preserve">Cererit                                    </t>
  </si>
  <si>
    <t>08-13-11+2MgO+ME</t>
  </si>
  <si>
    <t>000334</t>
  </si>
  <si>
    <t xml:space="preserve">Draselná sůl </t>
  </si>
  <si>
    <t>00-00-60</t>
  </si>
  <si>
    <t>000360</t>
  </si>
  <si>
    <t xml:space="preserve">Vápnitý dolomit </t>
  </si>
  <si>
    <t>55CaO,35MgO</t>
  </si>
  <si>
    <t>40 kg</t>
  </si>
  <si>
    <t>000419</t>
  </si>
  <si>
    <t>Zelená skalice</t>
  </si>
  <si>
    <t>25 kg</t>
  </si>
  <si>
    <t>071625</t>
  </si>
  <si>
    <t>Silvamix MG - tablety</t>
  </si>
  <si>
    <t>10-13-6,5</t>
  </si>
  <si>
    <t>013020</t>
  </si>
  <si>
    <t xml:space="preserve">Yara Mila Complex </t>
  </si>
  <si>
    <t>12-11-18+2MgO+ME</t>
  </si>
  <si>
    <t>071441</t>
  </si>
  <si>
    <t>Granulovaný vápenec Kalcis Mag 2 mikro</t>
  </si>
  <si>
    <t>013021</t>
  </si>
  <si>
    <t>Yara Liva Calcinit (Ledek vápenatý)</t>
  </si>
  <si>
    <t xml:space="preserve">15,5% N </t>
  </si>
  <si>
    <t>013093</t>
  </si>
  <si>
    <t>071717</t>
  </si>
  <si>
    <t>Myco Sport Proto Plus</t>
  </si>
  <si>
    <t>08-03-06+microb</t>
  </si>
  <si>
    <t xml:space="preserve">071576              </t>
  </si>
  <si>
    <t xml:space="preserve">Impact Organic Medium    </t>
  </si>
  <si>
    <t>14-02-08+Mu</t>
  </si>
  <si>
    <t xml:space="preserve">071577              </t>
  </si>
  <si>
    <t xml:space="preserve">Impact Organic Medium </t>
  </si>
  <si>
    <t>06-03-18+Mg</t>
  </si>
  <si>
    <t>071622</t>
  </si>
  <si>
    <t>Hi-Green Printempo</t>
  </si>
  <si>
    <t>22-05-10+2MgO</t>
  </si>
  <si>
    <t>071621</t>
  </si>
  <si>
    <t>Hi-Green Autuno</t>
  </si>
  <si>
    <t>13-00-17+6MgO</t>
  </si>
  <si>
    <t>071633</t>
  </si>
  <si>
    <t>Hi-Green Start</t>
  </si>
  <si>
    <t>16-23-10+3MgO</t>
  </si>
  <si>
    <t>071634</t>
  </si>
  <si>
    <t>Hi-Green</t>
  </si>
  <si>
    <t>15-05-25+2MgO</t>
  </si>
  <si>
    <t>071324</t>
  </si>
  <si>
    <t>MULTI-K - granulované</t>
  </si>
  <si>
    <t>071948</t>
  </si>
  <si>
    <t>MULTI-K - krystalické</t>
  </si>
  <si>
    <t>13-00-46+2MgO</t>
  </si>
  <si>
    <t>071501</t>
  </si>
  <si>
    <t>SIERRAFORM Pre seeder</t>
  </si>
  <si>
    <t>18-22-05</t>
  </si>
  <si>
    <t>071614</t>
  </si>
  <si>
    <t>SIERRAFORM Spring start</t>
  </si>
  <si>
    <t>16-00-16</t>
  </si>
  <si>
    <t>071615</t>
  </si>
  <si>
    <t>SIERRAFORM NK</t>
  </si>
  <si>
    <t>19-00-19</t>
  </si>
  <si>
    <t>071616</t>
  </si>
  <si>
    <t>SIERRAFORM Momentum</t>
  </si>
  <si>
    <t>22-05-11</t>
  </si>
  <si>
    <t>071502</t>
  </si>
  <si>
    <t>SIERRAFORM All season</t>
  </si>
  <si>
    <t>18-06-18</t>
  </si>
  <si>
    <t>071503</t>
  </si>
  <si>
    <t>SIERRAFORM Anti stress</t>
  </si>
  <si>
    <t>15-00-26</t>
  </si>
  <si>
    <t>071500</t>
  </si>
  <si>
    <t>SIERRAFORM K-step</t>
  </si>
  <si>
    <t>06-00-27</t>
  </si>
  <si>
    <t>071602</t>
  </si>
  <si>
    <t>STEP HI-Mag</t>
  </si>
  <si>
    <t>8Fe-20MgO</t>
  </si>
  <si>
    <t>071553</t>
  </si>
  <si>
    <t>Greenmaster ProLite Spring&amp;Summer</t>
  </si>
  <si>
    <t>14-05-10+2MgO</t>
  </si>
  <si>
    <t>071559</t>
  </si>
  <si>
    <t>Greenmaster ProLite Zero Phos</t>
  </si>
  <si>
    <t>14-00-10+3,4MgO</t>
  </si>
  <si>
    <t>071599</t>
  </si>
  <si>
    <t>12-00-12+3MgO</t>
  </si>
  <si>
    <t>071540</t>
  </si>
  <si>
    <t>07-00-14+4Fe</t>
  </si>
  <si>
    <t>071568</t>
  </si>
  <si>
    <t>06-05-10+6Fe</t>
  </si>
  <si>
    <t>071934</t>
  </si>
  <si>
    <t>Greenmaster Cold Start</t>
  </si>
  <si>
    <t>11-05-05+8Fe</t>
  </si>
  <si>
    <t>071630</t>
  </si>
  <si>
    <t>Greenmaster Liquid Step</t>
  </si>
  <si>
    <t>stopové prvky</t>
  </si>
  <si>
    <t>10 l</t>
  </si>
  <si>
    <t>071544</t>
  </si>
  <si>
    <t>Greenmaster Liquid Ca-Booster</t>
  </si>
  <si>
    <t>08-00-00+9CaO</t>
  </si>
  <si>
    <t>071580</t>
  </si>
  <si>
    <t>Sportsmaster mini High N</t>
  </si>
  <si>
    <t>24-05-11</t>
  </si>
  <si>
    <t>071935</t>
  </si>
  <si>
    <t>Sportsmaster mini Start</t>
  </si>
  <si>
    <t>19-19-05+2MgO+TE</t>
  </si>
  <si>
    <t>071936</t>
  </si>
  <si>
    <t>Sportsmaster mini Active</t>
  </si>
  <si>
    <t>15-05-15+2CaO+MgO</t>
  </si>
  <si>
    <t>071564</t>
  </si>
  <si>
    <t>Sportsmaster mini Permanent</t>
  </si>
  <si>
    <t>17-07-16+2MgO+Fe</t>
  </si>
  <si>
    <t>071528</t>
  </si>
  <si>
    <t>Sportsmaster mini High K</t>
  </si>
  <si>
    <t>13-05-20+2MgO</t>
  </si>
  <si>
    <t>013109</t>
  </si>
  <si>
    <t xml:space="preserve">Universol Zelený </t>
  </si>
  <si>
    <t>23-06-10+2,7MgO+ME</t>
  </si>
  <si>
    <t>013078</t>
  </si>
  <si>
    <t xml:space="preserve">Universol Fialový </t>
  </si>
  <si>
    <t>10-10-30+3,3MgO+ME</t>
  </si>
  <si>
    <t>013079</t>
  </si>
  <si>
    <t xml:space="preserve">Universol Modrý </t>
  </si>
  <si>
    <t>18-11-18+2,5MgO+ME</t>
  </si>
  <si>
    <t>013080</t>
  </si>
  <si>
    <t xml:space="preserve">Universol Oranžový </t>
  </si>
  <si>
    <t>16-05-25+3,4MgO+ME</t>
  </si>
  <si>
    <t>013110</t>
  </si>
  <si>
    <t xml:space="preserve">Universol Základní </t>
  </si>
  <si>
    <t>04-19-35+4,1MgO+ME</t>
  </si>
  <si>
    <t>013116</t>
  </si>
  <si>
    <t>Universol Special</t>
  </si>
  <si>
    <t>09-00-39+3,5MgO+ME</t>
  </si>
  <si>
    <t>013077</t>
  </si>
  <si>
    <t>12-30-12+2,2MgO+ME</t>
  </si>
  <si>
    <t>013111</t>
  </si>
  <si>
    <t>013134</t>
  </si>
  <si>
    <t>12-10-28+2MgO+ME</t>
  </si>
  <si>
    <t>013125</t>
  </si>
  <si>
    <t xml:space="preserve">Polyfeed Concerto </t>
  </si>
  <si>
    <t>18-18-18+2MgO+ME</t>
  </si>
  <si>
    <t>013126</t>
  </si>
  <si>
    <t>Polyfeed Menuet</t>
  </si>
  <si>
    <t>20-05-20+3MgO+ME</t>
  </si>
  <si>
    <t>013127</t>
  </si>
  <si>
    <t xml:space="preserve">Polyfeed Sonate </t>
  </si>
  <si>
    <t>15-05-30+3MgO+ME</t>
  </si>
  <si>
    <t>013128</t>
  </si>
  <si>
    <t xml:space="preserve">Polyfeed Ballade </t>
  </si>
  <si>
    <t>12-12-36+1MgO+ME</t>
  </si>
  <si>
    <t>013130</t>
  </si>
  <si>
    <t xml:space="preserve">Polyfeed Aria </t>
  </si>
  <si>
    <t>23-05-11+2MgO+ME</t>
  </si>
  <si>
    <t>013131</t>
  </si>
  <si>
    <t>Polyfeed Aria Speciaal</t>
  </si>
  <si>
    <t>24-05-11+3MgO+ME</t>
  </si>
  <si>
    <t>013129</t>
  </si>
  <si>
    <t>12-36-12+2MgO+ME</t>
  </si>
  <si>
    <t>013132</t>
  </si>
  <si>
    <t>09-15-38+2MgO+ME</t>
  </si>
  <si>
    <t>Hnojiva kapalná</t>
  </si>
  <si>
    <t>072168</t>
  </si>
  <si>
    <t xml:space="preserve">Vital - Turf </t>
  </si>
  <si>
    <t>13-00-00+4S+0,7FE</t>
  </si>
  <si>
    <t>072164</t>
  </si>
  <si>
    <t>1 000 l</t>
  </si>
  <si>
    <t>072082</t>
  </si>
  <si>
    <t>AGRO - liquid Profi 1 *</t>
  </si>
  <si>
    <t>10-00-05</t>
  </si>
  <si>
    <t>072150</t>
  </si>
  <si>
    <t>AGRO - liquid Profi 2 *</t>
  </si>
  <si>
    <t>08-08-00</t>
  </si>
  <si>
    <t>072151</t>
  </si>
  <si>
    <t>AGRO - liquid Profi 3 *</t>
  </si>
  <si>
    <t>05-00-10+S</t>
  </si>
  <si>
    <t>072152</t>
  </si>
  <si>
    <t>AGRO - liquid Profi 4 *</t>
  </si>
  <si>
    <t>05-05-05</t>
  </si>
  <si>
    <t>xxx</t>
  </si>
  <si>
    <t>SAM /1.000 l = cca 1,3 t/</t>
  </si>
  <si>
    <t>19-00-00</t>
  </si>
  <si>
    <t>1 000 kg</t>
  </si>
  <si>
    <t>DAM /1.000 l = cca 1,3 t/</t>
  </si>
  <si>
    <t>30-00-00</t>
  </si>
  <si>
    <t>013037</t>
  </si>
  <si>
    <t>Magnitra</t>
  </si>
  <si>
    <t>10% MgO</t>
  </si>
  <si>
    <t>20 l</t>
  </si>
  <si>
    <t>013067</t>
  </si>
  <si>
    <t>YaraVita Mantrac</t>
  </si>
  <si>
    <t>27,4%  Mn</t>
  </si>
  <si>
    <t>5 l</t>
  </si>
  <si>
    <t>Podpůrné prostředky</t>
  </si>
  <si>
    <t>071032</t>
  </si>
  <si>
    <t>071031</t>
  </si>
  <si>
    <t>Black Layer Treatment - proti černým vrstvám</t>
  </si>
  <si>
    <t>071038</t>
  </si>
  <si>
    <t>Direction Blue Liquid - barva do postřiků</t>
  </si>
  <si>
    <t>1 l</t>
  </si>
  <si>
    <t>071088</t>
  </si>
  <si>
    <t>Herbaverde - zelená barva</t>
  </si>
  <si>
    <t>071034</t>
  </si>
  <si>
    <t>Turf Tonic - proti mechům</t>
  </si>
  <si>
    <t>071030</t>
  </si>
  <si>
    <t>Biostimulant R - podpora kořenů</t>
  </si>
  <si>
    <t>072107</t>
  </si>
  <si>
    <t>071578</t>
  </si>
  <si>
    <t>Impact Enhance - granulovaný vápenec</t>
  </si>
  <si>
    <t>072109</t>
  </si>
  <si>
    <t>Straight Up + 6Si - vzpřímený růst trávy</t>
  </si>
  <si>
    <t>071063</t>
  </si>
  <si>
    <t>AlgaeGreen 200</t>
  </si>
  <si>
    <t>071199</t>
  </si>
  <si>
    <t>Purity Soil Conditioner Mini</t>
  </si>
  <si>
    <t>071066</t>
  </si>
  <si>
    <t>Microbial Thatch Biostimulant - požírač plsti</t>
  </si>
  <si>
    <t>071067</t>
  </si>
  <si>
    <t xml:space="preserve">Dew Desperser - odstraňovač rosy </t>
  </si>
  <si>
    <t xml:space="preserve">5 l </t>
  </si>
  <si>
    <t>071071</t>
  </si>
  <si>
    <t>UISE PLUS - úprava pH</t>
  </si>
  <si>
    <t>000580</t>
  </si>
  <si>
    <t>Agro Vitality komplex extra silný</t>
  </si>
  <si>
    <t>000581</t>
  </si>
  <si>
    <t>000582</t>
  </si>
  <si>
    <t>071065</t>
  </si>
  <si>
    <t>Hydrogel</t>
  </si>
  <si>
    <t>071041</t>
  </si>
  <si>
    <t>Revolution</t>
  </si>
  <si>
    <t>071042</t>
  </si>
  <si>
    <t>Primer Select</t>
  </si>
  <si>
    <t>071043</t>
  </si>
  <si>
    <t>Aqueduct</t>
  </si>
  <si>
    <t>071049</t>
  </si>
  <si>
    <t>071045</t>
  </si>
  <si>
    <t>071069</t>
  </si>
  <si>
    <t xml:space="preserve">Dispatch Sprayable </t>
  </si>
  <si>
    <t>072046</t>
  </si>
  <si>
    <t>Advantage plus tablety</t>
  </si>
  <si>
    <t>6 ks</t>
  </si>
  <si>
    <t>1 ks</t>
  </si>
  <si>
    <t>071087</t>
  </si>
  <si>
    <t>Aqueduct Flex - granulované smáčedlo</t>
  </si>
  <si>
    <t>071089</t>
  </si>
  <si>
    <t>071090</t>
  </si>
  <si>
    <t>071091</t>
  </si>
  <si>
    <t>071940</t>
  </si>
  <si>
    <t>Pickup (+ mangan)</t>
  </si>
  <si>
    <t>071941</t>
  </si>
  <si>
    <t>Pickup 341 - postřik pro ochranu listů</t>
  </si>
  <si>
    <t>071942</t>
  </si>
  <si>
    <t>Rubisco Smart - pigmenty a aminokyseliny</t>
  </si>
  <si>
    <t>071943</t>
  </si>
  <si>
    <t>Recovery - aminokyseliny</t>
  </si>
  <si>
    <t>071077</t>
  </si>
  <si>
    <t>OneShot Turbine Reaction - aminokyseliny</t>
  </si>
  <si>
    <t>071078</t>
  </si>
  <si>
    <t>OneShot Pro Active</t>
  </si>
  <si>
    <t>071079</t>
  </si>
  <si>
    <t>OneShot Tracer</t>
  </si>
  <si>
    <t>071080</t>
  </si>
  <si>
    <t>OneShot Optic Spray Dye</t>
  </si>
  <si>
    <t>071081</t>
  </si>
  <si>
    <t>OneShot Humik</t>
  </si>
  <si>
    <t>072179</t>
  </si>
  <si>
    <t>Humastar **</t>
  </si>
  <si>
    <t>** Na výrobek se nevztahuje další sleva.</t>
  </si>
  <si>
    <t>Č.mat</t>
  </si>
  <si>
    <t>velikost balení</t>
  </si>
  <si>
    <r>
      <t>P</t>
    </r>
    <r>
      <rPr>
        <b/>
        <vertAlign val="subscript"/>
        <sz val="10"/>
        <color theme="0"/>
        <rFont val="Calibri"/>
        <family val="2"/>
        <charset val="238"/>
        <scheme val="minor"/>
      </rPr>
      <t>2</t>
    </r>
    <r>
      <rPr>
        <b/>
        <sz val="10"/>
        <color theme="0"/>
        <rFont val="Calibri"/>
        <family val="2"/>
        <charset val="238"/>
        <scheme val="minor"/>
      </rPr>
      <t>O</t>
    </r>
    <r>
      <rPr>
        <b/>
        <vertAlign val="subscript"/>
        <sz val="10"/>
        <color theme="0"/>
        <rFont val="Calibri"/>
        <family val="2"/>
        <charset val="238"/>
        <scheme val="minor"/>
      </rPr>
      <t>5</t>
    </r>
  </si>
  <si>
    <r>
      <t>K</t>
    </r>
    <r>
      <rPr>
        <b/>
        <vertAlign val="subscript"/>
        <sz val="10"/>
        <color theme="0"/>
        <rFont val="Calibri"/>
        <family val="2"/>
        <charset val="238"/>
        <scheme val="minor"/>
      </rPr>
      <t>2</t>
    </r>
    <r>
      <rPr>
        <b/>
        <sz val="10"/>
        <color theme="0"/>
        <rFont val="Calibri"/>
        <family val="2"/>
        <charset val="238"/>
        <scheme val="minor"/>
      </rPr>
      <t>O</t>
    </r>
  </si>
  <si>
    <r>
      <t>91% CaCo</t>
    </r>
    <r>
      <rPr>
        <vertAlign val="sub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 xml:space="preserve"> + 2% MgCO</t>
    </r>
    <r>
      <rPr>
        <vertAlign val="subscript"/>
        <sz val="10"/>
        <rFont val="Calibri"/>
        <family val="2"/>
        <charset val="238"/>
        <scheme val="minor"/>
      </rPr>
      <t>3</t>
    </r>
  </si>
  <si>
    <r>
      <rPr>
        <sz val="10"/>
        <color indexed="63"/>
        <rFont val="Calibri"/>
        <family val="2"/>
        <charset val="238"/>
        <scheme val="minor"/>
      </rPr>
      <t>12-00-42+2MgO</t>
    </r>
  </si>
  <si>
    <t>Organická hnojiva</t>
  </si>
  <si>
    <t>Dlouhodobá hnojiva Haifa, ICL</t>
  </si>
  <si>
    <t>Vodorozpustná hnojiva ICL, Haifa</t>
  </si>
  <si>
    <t>Liquid Iron - tekuté železo</t>
  </si>
  <si>
    <t>2-0-10+8,7Fe</t>
  </si>
  <si>
    <t>GoGreen Iron Granules - granulované železo</t>
  </si>
  <si>
    <t>15-00-19-2MgO+9CaO+ME</t>
  </si>
  <si>
    <t>Fifty90 **</t>
  </si>
  <si>
    <t>H2Pro TriSmart</t>
  </si>
  <si>
    <t>H2Pro FlowSmart</t>
  </si>
  <si>
    <t>H2Pro AquaSmart</t>
  </si>
  <si>
    <t>Sloupec pro vyhledávání (vzorec)</t>
  </si>
  <si>
    <r>
      <t>m</t>
    </r>
    <r>
      <rPr>
        <b/>
        <sz val="14"/>
        <color theme="0"/>
        <rFont val="Calibri"/>
        <family val="2"/>
        <charset val="238"/>
      </rPr>
      <t>²</t>
    </r>
  </si>
  <si>
    <t xml:space="preserve">    č. p. 265, 552 03 Říkov</t>
  </si>
  <si>
    <t xml:space="preserve">    www.agroprofi.cz</t>
  </si>
  <si>
    <t xml:space="preserve">    E-mail: freiberg@agrocs.cz, tel.: +420 605 205 058</t>
  </si>
  <si>
    <t>SK Sigma Olomouc</t>
  </si>
  <si>
    <t xml:space="preserve">Universol Žlutý </t>
  </si>
  <si>
    <t xml:space="preserve">Universol Bílý  </t>
  </si>
  <si>
    <t>Universol HW pH Control</t>
  </si>
  <si>
    <t xml:space="preserve">Polyfeed Pavane </t>
  </si>
  <si>
    <t>Polyfeed Prelude</t>
  </si>
  <si>
    <t>SIERRAFORM All season 18-06-18 20 kg</t>
  </si>
  <si>
    <t>kg/l</t>
  </si>
  <si>
    <r>
      <t>kg//l/100 m</t>
    </r>
    <r>
      <rPr>
        <b/>
        <vertAlign val="superscript"/>
        <sz val="9"/>
        <color indexed="8"/>
        <rFont val="Arial"/>
        <family val="2"/>
      </rPr>
      <t>2</t>
    </r>
  </si>
  <si>
    <t>Kč/kg/l</t>
  </si>
  <si>
    <t xml:space="preserve">   Plán hnojení pro fotbalová hřiště</t>
  </si>
  <si>
    <t xml:space="preserve">    Plán hnojení pro fotbalová hřiště</t>
  </si>
  <si>
    <t xml:space="preserve">PROFI Trávníkové hnojivo special </t>
  </si>
  <si>
    <t>071234</t>
  </si>
  <si>
    <t>071235</t>
  </si>
  <si>
    <t>071236</t>
  </si>
  <si>
    <t>071237</t>
  </si>
  <si>
    <t>20-5-10+3MgO</t>
  </si>
  <si>
    <t>22-5-10+3MgO 30 % MU</t>
  </si>
  <si>
    <t>18-6-18+1MgO</t>
  </si>
  <si>
    <t>12-5-24+2MgO</t>
  </si>
  <si>
    <t>Profi - Trávníkové hnojivo SPRINT 27-06-06+2S 20 kg</t>
  </si>
  <si>
    <t>PROFI Trávníkové hnojivo special  22-5-10+3MgO 30 % MU 20 kg</t>
  </si>
  <si>
    <t>PROFI Trávníkové hnojivo special  12-5-24+2MgO 20 kg</t>
  </si>
  <si>
    <t>PROFI Trávníkové hnojivo special  18-6-18+1MgO 20 kg</t>
  </si>
  <si>
    <t>Agromix P 08-34-20 20 kg</t>
  </si>
  <si>
    <t>071811</t>
  </si>
  <si>
    <t>PROFI Trávníkové hnojivo komplex</t>
  </si>
  <si>
    <t>13-06-14+2MgO</t>
  </si>
  <si>
    <t>PROFI Trávníkové hnojivo special mini</t>
  </si>
  <si>
    <t>13-00-17+4MgO+2Fe</t>
  </si>
  <si>
    <t>FENIX Premium Pre-seed</t>
  </si>
  <si>
    <t>FENIX Basic 25 % N MU</t>
  </si>
  <si>
    <t>21-05-06+3MgO</t>
  </si>
  <si>
    <t>FENIX First 25% CRF</t>
  </si>
  <si>
    <t>FENIX Pro Starter 47% N CRF</t>
  </si>
  <si>
    <t>FENIX Pro Spring and Summer 40% N CRF</t>
  </si>
  <si>
    <t>22-5-11+3MgO</t>
  </si>
  <si>
    <t>FENIX Pro Autumn 40% N CRF</t>
  </si>
  <si>
    <t>07-10-17+1MgO</t>
  </si>
  <si>
    <t>Match Golf All season</t>
  </si>
  <si>
    <t>12-04-09+2MgO+1Fe</t>
  </si>
  <si>
    <t>Ledek amonný s vápencem 27-00-00 20 kg</t>
  </si>
  <si>
    <t>PROFI Trávníkové hnojivo komplex 13-06-14+2MgO 20 kg</t>
  </si>
  <si>
    <t>Síran amonný tříděný  20-00-00+23S 20 kg</t>
  </si>
  <si>
    <t>Modelový plán1</t>
  </si>
  <si>
    <t xml:space="preserve">ŠVEHLÍK Trávníky </t>
  </si>
  <si>
    <t>ssvehlik@seznam.cz</t>
  </si>
  <si>
    <t>Tel:776082872</t>
  </si>
  <si>
    <t>TJ Sokol Kudlovice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</si>
</sst>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&quot;s DPH &quot;0%"/>
  </numFmts>
  <fonts count="58">
    <font>
      <sz val="10"/>
      <name val="Arial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2"/>
      <color indexed="8"/>
      <name val="Arial"/>
      <family val="2"/>
      <charset val="238"/>
    </font>
    <font>
      <i/>
      <sz val="14"/>
      <color indexed="8"/>
      <name val="Arial"/>
      <family val="2"/>
      <charset val="238"/>
    </font>
    <font>
      <sz val="9"/>
      <color indexed="8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9"/>
      <name val="Arial"/>
      <family val="2"/>
    </font>
    <font>
      <b/>
      <vertAlign val="subscript"/>
      <sz val="9"/>
      <color indexed="8"/>
      <name val="Arial"/>
      <family val="2"/>
    </font>
    <font>
      <i/>
      <sz val="9"/>
      <color indexed="8"/>
      <name val="Arial"/>
      <family val="2"/>
    </font>
    <font>
      <b/>
      <sz val="10"/>
      <color indexed="8"/>
      <name val="Times New Roman"/>
      <family val="1"/>
      <charset val="238"/>
    </font>
    <font>
      <b/>
      <sz val="10"/>
      <name val="Arial"/>
      <family val="2"/>
      <charset val="238"/>
    </font>
    <font>
      <b/>
      <sz val="10"/>
      <color indexed="8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9" tint="-0.249977111117893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B050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color indexed="9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vertAlign val="subscript"/>
      <sz val="1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vertAlign val="subscript"/>
      <sz val="10"/>
      <name val="Calibri"/>
      <family val="2"/>
      <charset val="238"/>
      <scheme val="minor"/>
    </font>
    <font>
      <sz val="10"/>
      <color rgb="FF222222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b/>
      <u/>
      <sz val="10"/>
      <color theme="9" tint="-0.249977111117893"/>
      <name val="Calibri"/>
      <family val="2"/>
      <charset val="238"/>
      <scheme val="minor"/>
    </font>
    <font>
      <b/>
      <u/>
      <sz val="10"/>
      <color rgb="FF00B050"/>
      <name val="Calibri"/>
      <family val="2"/>
      <charset val="238"/>
      <scheme val="minor"/>
    </font>
    <font>
      <b/>
      <u/>
      <sz val="10"/>
      <color theme="9" tint="-0.499984740745262"/>
      <name val="Calibri"/>
      <family val="2"/>
      <charset val="238"/>
      <scheme val="minor"/>
    </font>
    <font>
      <b/>
      <u/>
      <sz val="10"/>
      <color rgb="FF00B0F0"/>
      <name val="Calibri"/>
      <family val="2"/>
      <charset val="238"/>
      <scheme val="minor"/>
    </font>
    <font>
      <b/>
      <u/>
      <sz val="10"/>
      <color rgb="FF7030A0"/>
      <name val="Calibri"/>
      <family val="2"/>
      <charset val="238"/>
      <scheme val="minor"/>
    </font>
    <font>
      <b/>
      <u/>
      <sz val="10"/>
      <color rgb="FF0070C0"/>
      <name val="Calibri"/>
      <family val="2"/>
      <charset val="238"/>
      <scheme val="minor"/>
    </font>
    <font>
      <b/>
      <u/>
      <sz val="10"/>
      <color theme="5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b/>
      <sz val="24"/>
      <color theme="0"/>
      <name val="Arial"/>
      <family val="2"/>
    </font>
    <font>
      <sz val="12"/>
      <color theme="2" tint="-9.9978637043366805E-2"/>
      <name val="Arial"/>
      <family val="2"/>
      <charset val="238"/>
    </font>
    <font>
      <sz val="10"/>
      <color theme="2" tint="-9.9978637043366805E-2"/>
      <name val="Arial"/>
      <family val="2"/>
      <charset val="238"/>
    </font>
    <font>
      <sz val="14"/>
      <color theme="2" tint="-0.499984740745262"/>
      <name val="Arial"/>
      <family val="2"/>
      <charset val="238"/>
    </font>
    <font>
      <sz val="12"/>
      <color theme="9" tint="0.59999389629810485"/>
      <name val="Arial"/>
      <family val="2"/>
      <charset val="238"/>
    </font>
    <font>
      <b/>
      <sz val="14"/>
      <color theme="0"/>
      <name val="Calibri"/>
      <family val="2"/>
      <charset val="238"/>
    </font>
    <font>
      <b/>
      <sz val="10"/>
      <color theme="2" tint="-0.499984740745262"/>
      <name val="Arial"/>
      <family val="2"/>
      <charset val="238"/>
    </font>
    <font>
      <sz val="10"/>
      <color theme="2" tint="-0.749992370372631"/>
      <name val="Arial"/>
      <family val="2"/>
      <charset val="238"/>
    </font>
    <font>
      <sz val="14"/>
      <color theme="2" tint="-0.749992370372631"/>
      <name val="Arial"/>
      <family val="2"/>
    </font>
    <font>
      <b/>
      <sz val="29"/>
      <color theme="2" tint="-0.499984740745262"/>
      <name val="Arial"/>
      <family val="2"/>
      <charset val="238"/>
    </font>
    <font>
      <b/>
      <sz val="20"/>
      <color indexed="8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theme="10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gradientFill degree="270">
        <stop position="0">
          <color theme="0"/>
        </stop>
        <stop position="1">
          <color theme="0"/>
        </stop>
      </gradient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auto="1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57" fillId="0" borderId="0" applyNumberFormat="0" applyFill="0" applyBorder="0" applyAlignment="0" applyProtection="0">
      <alignment vertical="top"/>
      <protection locked="0"/>
    </xf>
  </cellStyleXfs>
  <cellXfs count="230">
    <xf numFmtId="0" fontId="0" fillId="0" borderId="0" xfId="0"/>
    <xf numFmtId="0" fontId="1" fillId="2" borderId="0" xfId="0" applyFont="1" applyFill="1" applyProtection="1">
      <protection hidden="1"/>
    </xf>
    <xf numFmtId="2" fontId="1" fillId="2" borderId="0" xfId="0" applyNumberFormat="1" applyFont="1" applyFill="1" applyProtection="1">
      <protection hidden="1"/>
    </xf>
    <xf numFmtId="0" fontId="2" fillId="2" borderId="0" xfId="0" applyFont="1" applyFill="1" applyProtection="1">
      <protection hidden="1"/>
    </xf>
    <xf numFmtId="3" fontId="1" fillId="2" borderId="0" xfId="0" applyNumberFormat="1" applyFont="1" applyFill="1" applyAlignment="1" applyProtection="1">
      <alignment horizontal="left"/>
      <protection locked="0" hidden="1"/>
    </xf>
    <xf numFmtId="2" fontId="1" fillId="2" borderId="0" xfId="0" applyNumberFormat="1" applyFont="1" applyFill="1" applyAlignment="1" applyProtection="1">
      <alignment horizontal="right"/>
      <protection hidden="1"/>
    </xf>
    <xf numFmtId="2" fontId="1" fillId="2" borderId="0" xfId="0" applyNumberFormat="1" applyFont="1" applyFill="1" applyAlignment="1" applyProtection="1">
      <alignment horizontal="left"/>
      <protection hidden="1"/>
    </xf>
    <xf numFmtId="0" fontId="0" fillId="5" borderId="0" xfId="0" applyFill="1"/>
    <xf numFmtId="0" fontId="7" fillId="2" borderId="0" xfId="0" applyFont="1" applyFill="1" applyProtection="1">
      <protection hidden="1"/>
    </xf>
    <xf numFmtId="2" fontId="7" fillId="2" borderId="0" xfId="0" applyNumberFormat="1" applyFont="1" applyFill="1" applyProtection="1">
      <protection hidden="1"/>
    </xf>
    <xf numFmtId="0" fontId="8" fillId="5" borderId="0" xfId="0" applyFont="1" applyFill="1"/>
    <xf numFmtId="0" fontId="9" fillId="4" borderId="6" xfId="0" applyFont="1" applyFill="1" applyBorder="1" applyAlignment="1" applyProtection="1">
      <alignment horizontal="center"/>
      <protection hidden="1"/>
    </xf>
    <xf numFmtId="2" fontId="9" fillId="4" borderId="8" xfId="0" applyNumberFormat="1" applyFont="1" applyFill="1" applyBorder="1" applyAlignment="1" applyProtection="1">
      <alignment horizontal="center"/>
      <protection hidden="1"/>
    </xf>
    <xf numFmtId="2" fontId="9" fillId="2" borderId="8" xfId="0" applyNumberFormat="1" applyFont="1" applyFill="1" applyBorder="1" applyAlignment="1" applyProtection="1">
      <alignment horizontal="center"/>
      <protection hidden="1"/>
    </xf>
    <xf numFmtId="2" fontId="9" fillId="4" borderId="9" xfId="0" applyNumberFormat="1" applyFont="1" applyFill="1" applyBorder="1" applyAlignment="1" applyProtection="1">
      <alignment horizontal="center"/>
      <protection hidden="1"/>
    </xf>
    <xf numFmtId="0" fontId="11" fillId="0" borderId="6" xfId="0" applyFont="1" applyBorder="1" applyAlignment="1">
      <alignment horizontal="center"/>
    </xf>
    <xf numFmtId="0" fontId="9" fillId="4" borderId="10" xfId="0" applyFont="1" applyFill="1" applyBorder="1" applyAlignment="1" applyProtection="1">
      <alignment horizontal="center"/>
      <protection hidden="1"/>
    </xf>
    <xf numFmtId="2" fontId="9" fillId="2" borderId="5" xfId="0" applyNumberFormat="1" applyFont="1" applyFill="1" applyBorder="1" applyAlignment="1" applyProtection="1">
      <alignment horizontal="center"/>
      <protection hidden="1"/>
    </xf>
    <xf numFmtId="2" fontId="9" fillId="2" borderId="10" xfId="0" applyNumberFormat="1" applyFont="1" applyFill="1" applyBorder="1" applyProtection="1">
      <protection hidden="1"/>
    </xf>
    <xf numFmtId="2" fontId="9" fillId="2" borderId="11" xfId="0" applyNumberFormat="1" applyFont="1" applyFill="1" applyBorder="1" applyAlignment="1" applyProtection="1">
      <alignment horizontal="center"/>
      <protection hidden="1"/>
    </xf>
    <xf numFmtId="2" fontId="9" fillId="2" borderId="10" xfId="0" applyNumberFormat="1" applyFont="1" applyFill="1" applyBorder="1" applyAlignment="1" applyProtection="1">
      <alignment horizontal="center"/>
      <protection hidden="1"/>
    </xf>
    <xf numFmtId="2" fontId="9" fillId="4" borderId="12" xfId="0" applyNumberFormat="1" applyFont="1" applyFill="1" applyBorder="1" applyProtection="1">
      <protection hidden="1"/>
    </xf>
    <xf numFmtId="2" fontId="9" fillId="2" borderId="12" xfId="0" applyNumberFormat="1" applyFont="1" applyFill="1" applyBorder="1" applyAlignment="1" applyProtection="1">
      <alignment horizontal="center"/>
      <protection hidden="1"/>
    </xf>
    <xf numFmtId="2" fontId="9" fillId="4" borderId="13" xfId="0" applyNumberFormat="1" applyFont="1" applyFill="1" applyBorder="1" applyProtection="1">
      <protection hidden="1"/>
    </xf>
    <xf numFmtId="0" fontId="9" fillId="2" borderId="5" xfId="0" applyFont="1" applyFill="1" applyBorder="1" applyAlignment="1" applyProtection="1">
      <alignment horizontal="center"/>
      <protection hidden="1"/>
    </xf>
    <xf numFmtId="0" fontId="9" fillId="2" borderId="10" xfId="0" applyFont="1" applyFill="1" applyBorder="1" applyAlignment="1" applyProtection="1">
      <alignment horizontal="center"/>
      <protection hidden="1"/>
    </xf>
    <xf numFmtId="0" fontId="11" fillId="0" borderId="10" xfId="0" applyFont="1" applyBorder="1" applyAlignment="1">
      <alignment horizontal="center"/>
    </xf>
    <xf numFmtId="0" fontId="7" fillId="0" borderId="3" xfId="0" applyFont="1" applyBorder="1" applyAlignment="1" applyProtection="1">
      <alignment horizontal="center"/>
      <protection hidden="1"/>
    </xf>
    <xf numFmtId="4" fontId="7" fillId="4" borderId="3" xfId="0" applyNumberFormat="1" applyFont="1" applyFill="1" applyBorder="1" applyAlignment="1" applyProtection="1">
      <alignment horizontal="center"/>
      <protection hidden="1"/>
    </xf>
    <xf numFmtId="4" fontId="8" fillId="0" borderId="3" xfId="0" applyNumberFormat="1" applyFont="1" applyBorder="1"/>
    <xf numFmtId="0" fontId="9" fillId="3" borderId="7" xfId="0" applyFont="1" applyFill="1" applyBorder="1" applyProtection="1">
      <protection hidden="1"/>
    </xf>
    <xf numFmtId="0" fontId="9" fillId="3" borderId="1" xfId="0" applyFont="1" applyFill="1" applyBorder="1" applyProtection="1">
      <protection hidden="1"/>
    </xf>
    <xf numFmtId="2" fontId="9" fillId="3" borderId="1" xfId="0" applyNumberFormat="1" applyFont="1" applyFill="1" applyBorder="1" applyProtection="1">
      <protection hidden="1"/>
    </xf>
    <xf numFmtId="4" fontId="9" fillId="3" borderId="7" xfId="0" applyNumberFormat="1" applyFont="1" applyFill="1" applyBorder="1" applyAlignment="1" applyProtection="1">
      <alignment horizontal="center"/>
      <protection hidden="1"/>
    </xf>
    <xf numFmtId="4" fontId="11" fillId="3" borderId="3" xfId="0" applyNumberFormat="1" applyFont="1" applyFill="1" applyBorder="1" applyAlignment="1" applyProtection="1">
      <alignment horizontal="center"/>
      <protection locked="0"/>
    </xf>
    <xf numFmtId="0" fontId="9" fillId="3" borderId="6" xfId="0" applyFont="1" applyFill="1" applyBorder="1" applyAlignment="1" applyProtection="1">
      <alignment horizontal="center"/>
      <protection hidden="1"/>
    </xf>
    <xf numFmtId="0" fontId="9" fillId="3" borderId="10" xfId="0" applyFont="1" applyFill="1" applyBorder="1" applyProtection="1">
      <protection hidden="1"/>
    </xf>
    <xf numFmtId="4" fontId="11" fillId="3" borderId="3" xfId="0" applyNumberFormat="1" applyFont="1" applyFill="1" applyBorder="1"/>
    <xf numFmtId="4" fontId="8" fillId="5" borderId="0" xfId="0" applyNumberFormat="1" applyFont="1" applyFill="1"/>
    <xf numFmtId="0" fontId="14" fillId="2" borderId="0" xfId="0" applyFont="1" applyFill="1" applyProtection="1">
      <protection hidden="1"/>
    </xf>
    <xf numFmtId="0" fontId="3" fillId="5" borderId="0" xfId="0" applyFont="1" applyFill="1"/>
    <xf numFmtId="0" fontId="7" fillId="2" borderId="11" xfId="0" applyFont="1" applyFill="1" applyBorder="1" applyProtection="1">
      <protection hidden="1"/>
    </xf>
    <xf numFmtId="0" fontId="8" fillId="0" borderId="11" xfId="0" applyFont="1" applyBorder="1"/>
    <xf numFmtId="0" fontId="8" fillId="5" borderId="11" xfId="0" applyFont="1" applyFill="1" applyBorder="1"/>
    <xf numFmtId="0" fontId="15" fillId="6" borderId="15" xfId="0" applyFont="1" applyFill="1" applyBorder="1"/>
    <xf numFmtId="0" fontId="15" fillId="5" borderId="0" xfId="0" applyFont="1" applyFill="1"/>
    <xf numFmtId="4" fontId="15" fillId="6" borderId="16" xfId="0" applyNumberFormat="1" applyFont="1" applyFill="1" applyBorder="1"/>
    <xf numFmtId="4" fontId="15" fillId="6" borderId="17" xfId="0" applyNumberFormat="1" applyFont="1" applyFill="1" applyBorder="1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horizontal="center" vertical="center" wrapText="1"/>
    </xf>
    <xf numFmtId="4" fontId="18" fillId="0" borderId="18" xfId="0" applyNumberFormat="1" applyFont="1" applyBorder="1"/>
    <xf numFmtId="4" fontId="19" fillId="0" borderId="0" xfId="0" applyNumberFormat="1" applyFont="1"/>
    <xf numFmtId="4" fontId="16" fillId="0" borderId="18" xfId="0" applyNumberFormat="1" applyFont="1" applyBorder="1"/>
    <xf numFmtId="4" fontId="16" fillId="0" borderId="0" xfId="0" applyNumberFormat="1" applyFont="1"/>
    <xf numFmtId="4" fontId="18" fillId="0" borderId="18" xfId="0" applyNumberFormat="1" applyFont="1" applyBorder="1" applyAlignment="1">
      <alignment vertical="center" wrapText="1" shrinkToFit="1"/>
    </xf>
    <xf numFmtId="4" fontId="18" fillId="0" borderId="18" xfId="0" applyNumberFormat="1" applyFont="1" applyBorder="1" applyAlignment="1" applyProtection="1">
      <alignment vertical="center" wrapText="1" shrinkToFit="1"/>
      <protection locked="0"/>
    </xf>
    <xf numFmtId="4" fontId="18" fillId="0" borderId="18" xfId="0" applyNumberFormat="1" applyFont="1" applyBorder="1" applyAlignment="1" applyProtection="1">
      <alignment wrapText="1" shrinkToFit="1"/>
      <protection locked="0"/>
    </xf>
    <xf numFmtId="2" fontId="18" fillId="0" borderId="18" xfId="0" applyNumberFormat="1" applyFont="1" applyBorder="1" applyAlignment="1" applyProtection="1">
      <alignment horizontal="right" wrapText="1" shrinkToFit="1"/>
      <protection locked="0"/>
    </xf>
    <xf numFmtId="4" fontId="18" fillId="0" borderId="18" xfId="0" applyNumberFormat="1" applyFont="1" applyBorder="1" applyAlignment="1" applyProtection="1">
      <alignment horizontal="right" wrapText="1" shrinkToFit="1"/>
      <protection locked="0"/>
    </xf>
    <xf numFmtId="0" fontId="22" fillId="0" borderId="0" xfId="0" applyFont="1"/>
    <xf numFmtId="4" fontId="18" fillId="0" borderId="18" xfId="0" applyNumberFormat="1" applyFont="1" applyBorder="1" applyAlignment="1">
      <alignment horizontal="right"/>
    </xf>
    <xf numFmtId="4" fontId="18" fillId="0" borderId="18" xfId="0" applyNumberFormat="1" applyFont="1" applyBorder="1" applyAlignment="1">
      <alignment horizontal="right" vertical="center"/>
    </xf>
    <xf numFmtId="0" fontId="9" fillId="4" borderId="4" xfId="0" applyFont="1" applyFill="1" applyBorder="1" applyAlignment="1" applyProtection="1">
      <alignment horizontal="center"/>
      <protection hidden="1"/>
    </xf>
    <xf numFmtId="0" fontId="9" fillId="4" borderId="5" xfId="0" applyFont="1" applyFill="1" applyBorder="1" applyAlignment="1" applyProtection="1">
      <alignment horizontal="center"/>
      <protection hidden="1"/>
    </xf>
    <xf numFmtId="0" fontId="23" fillId="0" borderId="0" xfId="0" applyFont="1"/>
    <xf numFmtId="0" fontId="16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8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5" fillId="7" borderId="18" xfId="0" applyFont="1" applyFill="1" applyBorder="1" applyAlignment="1">
      <alignment horizontal="center" vertical="center" wrapText="1"/>
    </xf>
    <xf numFmtId="0" fontId="25" fillId="7" borderId="18" xfId="0" applyFont="1" applyFill="1" applyBorder="1" applyAlignment="1">
      <alignment horizontal="center" vertical="center"/>
    </xf>
    <xf numFmtId="0" fontId="26" fillId="7" borderId="18" xfId="0" applyFont="1" applyFill="1" applyBorder="1" applyAlignment="1" applyProtection="1">
      <alignment horizontal="center" vertical="center"/>
      <protection hidden="1"/>
    </xf>
    <xf numFmtId="2" fontId="26" fillId="7" borderId="18" xfId="0" applyNumberFormat="1" applyFont="1" applyFill="1" applyBorder="1" applyAlignment="1" applyProtection="1">
      <alignment horizontal="center" vertical="center"/>
      <protection hidden="1"/>
    </xf>
    <xf numFmtId="49" fontId="24" fillId="0" borderId="18" xfId="0" applyNumberFormat="1" applyFont="1" applyBorder="1" applyAlignment="1">
      <alignment horizontal="center" wrapText="1" shrinkToFit="1"/>
    </xf>
    <xf numFmtId="0" fontId="28" fillId="0" borderId="18" xfId="0" applyFont="1" applyBorder="1"/>
    <xf numFmtId="0" fontId="28" fillId="0" borderId="18" xfId="0" applyFont="1" applyBorder="1" applyAlignment="1">
      <alignment horizontal="center"/>
    </xf>
    <xf numFmtId="4" fontId="23" fillId="0" borderId="18" xfId="0" applyNumberFormat="1" applyFont="1" applyBorder="1"/>
    <xf numFmtId="3" fontId="23" fillId="0" borderId="18" xfId="0" applyNumberFormat="1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49" fontId="24" fillId="0" borderId="18" xfId="0" applyNumberFormat="1" applyFont="1" applyBorder="1" applyAlignment="1">
      <alignment horizontal="center" vertical="center" wrapText="1" shrinkToFit="1"/>
    </xf>
    <xf numFmtId="0" fontId="24" fillId="0" borderId="18" xfId="0" applyFont="1" applyBorder="1" applyAlignment="1">
      <alignment vertical="center" wrapText="1" shrinkToFit="1"/>
    </xf>
    <xf numFmtId="0" fontId="23" fillId="0" borderId="18" xfId="0" applyFont="1" applyBorder="1" applyAlignment="1">
      <alignment horizontal="center" vertical="center" wrapText="1" shrinkToFit="1"/>
    </xf>
    <xf numFmtId="0" fontId="23" fillId="0" borderId="18" xfId="0" applyFont="1" applyBorder="1" applyAlignment="1">
      <alignment vertical="center" wrapText="1" shrinkToFit="1"/>
    </xf>
    <xf numFmtId="0" fontId="30" fillId="0" borderId="0" xfId="0" applyFont="1"/>
    <xf numFmtId="49" fontId="24" fillId="0" borderId="18" xfId="0" applyNumberFormat="1" applyFont="1" applyBorder="1" applyAlignment="1" applyProtection="1">
      <alignment horizontal="center" vertical="center" wrapText="1" shrinkToFit="1"/>
      <protection locked="0"/>
    </xf>
    <xf numFmtId="0" fontId="24" fillId="0" borderId="18" xfId="0" applyFont="1" applyBorder="1" applyAlignment="1" applyProtection="1">
      <alignment vertical="center" wrapText="1" shrinkToFit="1"/>
      <protection locked="0"/>
    </xf>
    <xf numFmtId="0" fontId="23" fillId="0" borderId="18" xfId="0" applyFont="1" applyBorder="1" applyAlignment="1" applyProtection="1">
      <alignment horizontal="center" vertical="center" wrapText="1" shrinkToFit="1"/>
      <protection locked="0"/>
    </xf>
    <xf numFmtId="49" fontId="23" fillId="0" borderId="18" xfId="0" applyNumberFormat="1" applyFont="1" applyBorder="1" applyAlignment="1">
      <alignment horizontal="center" vertical="center" wrapText="1" shrinkToFit="1"/>
    </xf>
    <xf numFmtId="49" fontId="23" fillId="0" borderId="18" xfId="0" applyNumberFormat="1" applyFont="1" applyBorder="1" applyAlignment="1">
      <alignment horizontal="center"/>
    </xf>
    <xf numFmtId="0" fontId="23" fillId="0" borderId="18" xfId="0" applyFont="1" applyBorder="1"/>
    <xf numFmtId="0" fontId="30" fillId="0" borderId="0" xfId="0" applyFont="1" applyAlignment="1">
      <alignment horizontal="center"/>
    </xf>
    <xf numFmtId="2" fontId="23" fillId="0" borderId="18" xfId="0" applyNumberFormat="1" applyFont="1" applyBorder="1" applyAlignment="1">
      <alignment horizontal="center"/>
    </xf>
    <xf numFmtId="4" fontId="23" fillId="0" borderId="18" xfId="0" applyNumberFormat="1" applyFont="1" applyBorder="1" applyAlignment="1">
      <alignment horizontal="right"/>
    </xf>
    <xf numFmtId="0" fontId="32" fillId="0" borderId="0" xfId="0" applyFont="1" applyAlignment="1">
      <alignment horizontal="center"/>
    </xf>
    <xf numFmtId="49" fontId="23" fillId="0" borderId="18" xfId="0" applyNumberFormat="1" applyFont="1" applyBorder="1" applyAlignment="1" applyProtection="1">
      <alignment horizontal="center" wrapText="1" shrinkToFit="1"/>
      <protection locked="0"/>
    </xf>
    <xf numFmtId="0" fontId="23" fillId="0" borderId="18" xfId="0" applyFont="1" applyBorder="1" applyAlignment="1" applyProtection="1">
      <alignment wrapText="1" shrinkToFit="1"/>
      <protection locked="0"/>
    </xf>
    <xf numFmtId="0" fontId="23" fillId="0" borderId="18" xfId="0" applyFont="1" applyBorder="1" applyAlignment="1" applyProtection="1">
      <alignment horizontal="center" wrapText="1" shrinkToFit="1"/>
      <protection locked="0"/>
    </xf>
    <xf numFmtId="2" fontId="23" fillId="0" borderId="18" xfId="0" applyNumberFormat="1" applyFont="1" applyBorder="1" applyAlignment="1" applyProtection="1">
      <alignment horizontal="center" wrapText="1" shrinkToFit="1"/>
      <protection locked="0"/>
    </xf>
    <xf numFmtId="0" fontId="23" fillId="0" borderId="18" xfId="0" applyFont="1" applyBorder="1" applyAlignment="1">
      <alignment wrapText="1" shrinkToFit="1"/>
    </xf>
    <xf numFmtId="0" fontId="24" fillId="0" borderId="18" xfId="0" applyFont="1" applyBorder="1" applyAlignment="1">
      <alignment horizontal="center" wrapText="1" shrinkToFit="1"/>
    </xf>
    <xf numFmtId="0" fontId="23" fillId="0" borderId="18" xfId="0" applyFont="1" applyBorder="1" applyAlignment="1">
      <alignment horizontal="center" wrapText="1" shrinkToFit="1"/>
    </xf>
    <xf numFmtId="4" fontId="18" fillId="0" borderId="18" xfId="0" applyNumberFormat="1" applyFont="1" applyBorder="1" applyAlignment="1">
      <alignment wrapText="1" shrinkToFit="1"/>
    </xf>
    <xf numFmtId="0" fontId="33" fillId="0" borderId="18" xfId="0" applyFont="1" applyBorder="1" applyAlignment="1" applyProtection="1">
      <alignment horizontal="center" wrapText="1" shrinkToFit="1"/>
      <protection locked="0"/>
    </xf>
    <xf numFmtId="14" fontId="23" fillId="0" borderId="18" xfId="0" applyNumberFormat="1" applyFont="1" applyBorder="1" applyAlignment="1">
      <alignment horizontal="center" vertical="center" wrapText="1" shrinkToFit="1"/>
    </xf>
    <xf numFmtId="49" fontId="23" fillId="0" borderId="18" xfId="0" applyNumberFormat="1" applyFont="1" applyBorder="1"/>
    <xf numFmtId="0" fontId="25" fillId="0" borderId="0" xfId="0" applyFont="1" applyAlignment="1">
      <alignment horizontal="center" vertical="center"/>
    </xf>
    <xf numFmtId="0" fontId="34" fillId="0" borderId="0" xfId="0" applyFont="1"/>
    <xf numFmtId="0" fontId="34" fillId="0" borderId="0" xfId="0" applyFont="1" applyAlignment="1">
      <alignment horizontal="left" vertical="center"/>
    </xf>
    <xf numFmtId="2" fontId="23" fillId="0" borderId="0" xfId="0" applyNumberFormat="1" applyFont="1" applyAlignment="1" applyProtection="1">
      <alignment wrapText="1" shrinkToFit="1"/>
      <protection locked="0"/>
    </xf>
    <xf numFmtId="2" fontId="23" fillId="0" borderId="0" xfId="0" applyNumberFormat="1" applyFont="1" applyAlignment="1" applyProtection="1">
      <alignment horizontal="left" shrinkToFit="1"/>
      <protection locked="0"/>
    </xf>
    <xf numFmtId="4" fontId="21" fillId="0" borderId="0" xfId="0" applyNumberFormat="1" applyFont="1" applyAlignment="1" applyProtection="1">
      <alignment wrapText="1" shrinkToFit="1"/>
      <protection locked="0"/>
    </xf>
    <xf numFmtId="2" fontId="34" fillId="0" borderId="20" xfId="0" applyNumberFormat="1" applyFont="1" applyBorder="1" applyAlignment="1" applyProtection="1">
      <alignment horizontal="left" wrapText="1" shrinkToFit="1"/>
      <protection locked="0"/>
    </xf>
    <xf numFmtId="0" fontId="35" fillId="0" borderId="0" xfId="0" applyFont="1" applyAlignment="1">
      <alignment horizontal="center"/>
    </xf>
    <xf numFmtId="2" fontId="34" fillId="0" borderId="0" xfId="0" applyNumberFormat="1" applyFont="1" applyAlignment="1" applyProtection="1">
      <alignment horizontal="left" wrapText="1" shrinkToFit="1"/>
      <protection locked="0"/>
    </xf>
    <xf numFmtId="0" fontId="20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5" fillId="0" borderId="0" xfId="0" applyFont="1"/>
    <xf numFmtId="4" fontId="29" fillId="0" borderId="0" xfId="0" applyNumberFormat="1" applyFont="1"/>
    <xf numFmtId="49" fontId="23" fillId="0" borderId="18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vertical="center"/>
    </xf>
    <xf numFmtId="0" fontId="23" fillId="0" borderId="18" xfId="0" applyFont="1" applyBorder="1" applyAlignment="1">
      <alignment horizontal="center" vertical="center"/>
    </xf>
    <xf numFmtId="49" fontId="23" fillId="0" borderId="18" xfId="0" applyNumberFormat="1" applyFont="1" applyBorder="1" applyAlignment="1">
      <alignment horizontal="center" vertical="top" wrapText="1" shrinkToFit="1"/>
    </xf>
    <xf numFmtId="0" fontId="28" fillId="0" borderId="0" xfId="0" applyFont="1" applyAlignment="1">
      <alignment vertical="center"/>
    </xf>
    <xf numFmtId="164" fontId="23" fillId="0" borderId="18" xfId="0" applyNumberFormat="1" applyFont="1" applyBorder="1" applyAlignment="1">
      <alignment horizontal="left"/>
    </xf>
    <xf numFmtId="164" fontId="23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0" fontId="36" fillId="0" borderId="0" xfId="0" applyFont="1"/>
    <xf numFmtId="4" fontId="29" fillId="0" borderId="18" xfId="0" applyNumberFormat="1" applyFont="1" applyBorder="1" applyAlignment="1">
      <alignment horizontal="center"/>
    </xf>
    <xf numFmtId="164" fontId="23" fillId="0" borderId="18" xfId="0" applyNumberFormat="1" applyFont="1" applyBorder="1" applyAlignment="1">
      <alignment horizontal="center"/>
    </xf>
    <xf numFmtId="0" fontId="23" fillId="0" borderId="18" xfId="0" applyFont="1" applyBorder="1" applyAlignment="1">
      <alignment horizontal="left"/>
    </xf>
    <xf numFmtId="0" fontId="30" fillId="0" borderId="18" xfId="0" applyFont="1" applyBorder="1" applyAlignment="1">
      <alignment horizontal="center"/>
    </xf>
    <xf numFmtId="0" fontId="26" fillId="7" borderId="21" xfId="0" applyFont="1" applyFill="1" applyBorder="1" applyAlignment="1">
      <alignment horizontal="center" vertical="center" wrapText="1"/>
    </xf>
    <xf numFmtId="0" fontId="24" fillId="0" borderId="18" xfId="0" applyFont="1" applyBorder="1" applyAlignment="1">
      <alignment horizontal="center"/>
    </xf>
    <xf numFmtId="4" fontId="23" fillId="0" borderId="18" xfId="0" applyNumberFormat="1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4" fontId="19" fillId="0" borderId="18" xfId="0" applyNumberFormat="1" applyFont="1" applyBorder="1" applyAlignment="1" applyProtection="1">
      <alignment horizontal="center" wrapText="1" shrinkToFit="1"/>
      <protection locked="0"/>
    </xf>
    <xf numFmtId="0" fontId="23" fillId="0" borderId="0" xfId="0" applyFont="1" applyAlignment="1">
      <alignment vertical="center"/>
    </xf>
    <xf numFmtId="4" fontId="19" fillId="0" borderId="18" xfId="0" applyNumberFormat="1" applyFont="1" applyBorder="1" applyAlignment="1">
      <alignment horizontal="center"/>
    </xf>
    <xf numFmtId="4" fontId="18" fillId="0" borderId="18" xfId="0" applyNumberFormat="1" applyFont="1" applyBorder="1" applyAlignment="1">
      <alignment horizontal="center"/>
    </xf>
    <xf numFmtId="0" fontId="25" fillId="8" borderId="18" xfId="0" applyFont="1" applyFill="1" applyBorder="1" applyAlignment="1">
      <alignment horizontal="center" vertical="center" wrapText="1"/>
    </xf>
    <xf numFmtId="0" fontId="13" fillId="9" borderId="3" xfId="0" applyFont="1" applyFill="1" applyBorder="1" applyProtection="1">
      <protection locked="0" hidden="1"/>
    </xf>
    <xf numFmtId="0" fontId="7" fillId="3" borderId="3" xfId="0" applyFont="1" applyFill="1" applyBorder="1" applyProtection="1">
      <protection locked="0" hidden="1"/>
    </xf>
    <xf numFmtId="14" fontId="9" fillId="3" borderId="3" xfId="0" applyNumberFormat="1" applyFont="1" applyFill="1" applyBorder="1" applyAlignment="1" applyProtection="1">
      <alignment horizontal="left"/>
      <protection locked="0" hidden="1"/>
    </xf>
    <xf numFmtId="0" fontId="13" fillId="4" borderId="3" xfId="0" applyFont="1" applyFill="1" applyBorder="1" applyProtection="1">
      <protection locked="0" hidden="1"/>
    </xf>
    <xf numFmtId="0" fontId="7" fillId="0" borderId="3" xfId="0" applyFont="1" applyBorder="1" applyAlignment="1" applyProtection="1">
      <alignment horizontal="center"/>
      <protection locked="0" hidden="1"/>
    </xf>
    <xf numFmtId="0" fontId="7" fillId="4" borderId="3" xfId="0" applyFont="1" applyFill="1" applyBorder="1" applyAlignment="1" applyProtection="1">
      <alignment horizontal="center"/>
      <protection locked="0" hidden="1"/>
    </xf>
    <xf numFmtId="0" fontId="7" fillId="9" borderId="3" xfId="0" applyFont="1" applyFill="1" applyBorder="1" applyAlignment="1" applyProtection="1">
      <alignment horizontal="center"/>
      <protection locked="0" hidden="1"/>
    </xf>
    <xf numFmtId="4" fontId="7" fillId="4" borderId="3" xfId="0" applyNumberFormat="1" applyFont="1" applyFill="1" applyBorder="1" applyAlignment="1" applyProtection="1">
      <alignment horizontal="center"/>
      <protection locked="0" hidden="1"/>
    </xf>
    <xf numFmtId="4" fontId="8" fillId="0" borderId="3" xfId="0" applyNumberFormat="1" applyFont="1" applyBorder="1" applyProtection="1">
      <protection locked="0"/>
    </xf>
    <xf numFmtId="0" fontId="8" fillId="0" borderId="3" xfId="0" applyFont="1" applyBorder="1" applyProtection="1">
      <protection locked="0"/>
    </xf>
    <xf numFmtId="0" fontId="15" fillId="10" borderId="14" xfId="0" applyFont="1" applyFill="1" applyBorder="1" applyProtection="1">
      <protection locked="0"/>
    </xf>
    <xf numFmtId="0" fontId="37" fillId="0" borderId="0" xfId="0" applyFont="1"/>
    <xf numFmtId="0" fontId="38" fillId="0" borderId="0" xfId="0" applyFont="1"/>
    <xf numFmtId="0" fontId="39" fillId="0" borderId="0" xfId="0" applyFont="1"/>
    <xf numFmtId="0" fontId="41" fillId="0" borderId="0" xfId="0" applyFont="1"/>
    <xf numFmtId="0" fontId="42" fillId="0" borderId="0" xfId="0" applyFont="1"/>
    <xf numFmtId="165" fontId="11" fillId="0" borderId="10" xfId="0" applyNumberFormat="1" applyFont="1" applyBorder="1" applyAlignment="1" applyProtection="1">
      <alignment horizontal="center"/>
      <protection locked="0"/>
    </xf>
    <xf numFmtId="2" fontId="7" fillId="9" borderId="3" xfId="0" applyNumberFormat="1" applyFont="1" applyFill="1" applyBorder="1" applyAlignment="1" applyProtection="1">
      <alignment horizontal="center"/>
      <protection locked="0" hidden="1"/>
    </xf>
    <xf numFmtId="0" fontId="1" fillId="11" borderId="0" xfId="0" applyFont="1" applyFill="1" applyProtection="1">
      <protection hidden="1"/>
    </xf>
    <xf numFmtId="0" fontId="0" fillId="5" borderId="0" xfId="0" applyFill="1" applyAlignment="1">
      <alignment vertical="center"/>
    </xf>
    <xf numFmtId="0" fontId="0" fillId="0" borderId="0" xfId="0" applyAlignment="1">
      <alignment vertical="center"/>
    </xf>
    <xf numFmtId="2" fontId="1" fillId="9" borderId="0" xfId="0" applyNumberFormat="1" applyFont="1" applyFill="1" applyProtection="1">
      <protection hidden="1"/>
    </xf>
    <xf numFmtId="0" fontId="0" fillId="9" borderId="0" xfId="0" applyFill="1"/>
    <xf numFmtId="0" fontId="0" fillId="13" borderId="0" xfId="0" applyFill="1"/>
    <xf numFmtId="0" fontId="1" fillId="13" borderId="0" xfId="0" applyFont="1" applyFill="1" applyProtection="1">
      <protection hidden="1"/>
    </xf>
    <xf numFmtId="2" fontId="1" fillId="13" borderId="0" xfId="0" applyNumberFormat="1" applyFont="1" applyFill="1" applyProtection="1">
      <protection hidden="1"/>
    </xf>
    <xf numFmtId="0" fontId="1" fillId="9" borderId="0" xfId="0" applyFont="1" applyFill="1" applyProtection="1">
      <protection hidden="1"/>
    </xf>
    <xf numFmtId="0" fontId="6" fillId="13" borderId="0" xfId="0" applyFont="1" applyFill="1" applyProtection="1">
      <protection hidden="1"/>
    </xf>
    <xf numFmtId="0" fontId="44" fillId="13" borderId="0" xfId="0" applyFont="1" applyFill="1" applyBorder="1" applyAlignment="1">
      <alignment horizontal="left"/>
    </xf>
    <xf numFmtId="0" fontId="45" fillId="9" borderId="0" xfId="0" applyFont="1" applyFill="1" applyProtection="1">
      <protection hidden="1"/>
    </xf>
    <xf numFmtId="2" fontId="45" fillId="9" borderId="0" xfId="0" applyNumberFormat="1" applyFont="1" applyFill="1" applyProtection="1">
      <protection hidden="1"/>
    </xf>
    <xf numFmtId="0" fontId="46" fillId="9" borderId="0" xfId="0" applyFont="1" applyFill="1"/>
    <xf numFmtId="0" fontId="47" fillId="9" borderId="0" xfId="0" applyFont="1" applyFill="1" applyProtection="1">
      <protection hidden="1"/>
    </xf>
    <xf numFmtId="3" fontId="48" fillId="3" borderId="19" xfId="0" applyNumberFormat="1" applyFont="1" applyFill="1" applyBorder="1" applyAlignment="1" applyProtection="1">
      <alignment horizontal="left"/>
      <protection locked="0" hidden="1"/>
    </xf>
    <xf numFmtId="2" fontId="48" fillId="3" borderId="19" xfId="0" applyNumberFormat="1" applyFont="1" applyFill="1" applyBorder="1" applyProtection="1">
      <protection hidden="1"/>
    </xf>
    <xf numFmtId="2" fontId="43" fillId="3" borderId="19" xfId="0" applyNumberFormat="1" applyFont="1" applyFill="1" applyBorder="1" applyAlignment="1" applyProtection="1">
      <alignment vertical="center"/>
      <protection hidden="1"/>
    </xf>
    <xf numFmtId="0" fontId="50" fillId="5" borderId="0" xfId="0" applyFont="1" applyFill="1"/>
    <xf numFmtId="0" fontId="50" fillId="0" borderId="0" xfId="0" applyFont="1"/>
    <xf numFmtId="0" fontId="0" fillId="11" borderId="0" xfId="0" applyFill="1" applyBorder="1"/>
    <xf numFmtId="0" fontId="5" fillId="11" borderId="0" xfId="0" applyFont="1" applyFill="1" applyBorder="1" applyProtection="1">
      <protection hidden="1"/>
    </xf>
    <xf numFmtId="0" fontId="7" fillId="11" borderId="0" xfId="0" applyFont="1" applyFill="1" applyProtection="1">
      <protection hidden="1"/>
    </xf>
    <xf numFmtId="0" fontId="51" fillId="14" borderId="0" xfId="0" applyFont="1" applyFill="1"/>
    <xf numFmtId="0" fontId="52" fillId="12" borderId="0" xfId="0" applyFont="1" applyFill="1" applyProtection="1">
      <protection hidden="1"/>
    </xf>
    <xf numFmtId="0" fontId="0" fillId="11" borderId="0" xfId="0" applyFill="1"/>
    <xf numFmtId="0" fontId="0" fillId="15" borderId="0" xfId="0" applyFill="1"/>
    <xf numFmtId="0" fontId="0" fillId="15" borderId="0" xfId="0" applyFill="1" applyAlignment="1">
      <alignment vertical="center"/>
    </xf>
    <xf numFmtId="0" fontId="0" fillId="11" borderId="0" xfId="0" applyFill="1" applyAlignment="1">
      <alignment vertical="center"/>
    </xf>
    <xf numFmtId="3" fontId="0" fillId="5" borderId="0" xfId="0" applyNumberFormat="1" applyFill="1"/>
    <xf numFmtId="0" fontId="13" fillId="9" borderId="3" xfId="0" applyFont="1" applyFill="1" applyBorder="1" applyProtection="1">
      <protection hidden="1"/>
    </xf>
    <xf numFmtId="1" fontId="7" fillId="0" borderId="3" xfId="0" applyNumberFormat="1" applyFont="1" applyBorder="1" applyAlignment="1" applyProtection="1">
      <alignment horizontal="center"/>
      <protection hidden="1"/>
    </xf>
    <xf numFmtId="3" fontId="9" fillId="3" borderId="7" xfId="0" applyNumberFormat="1" applyFont="1" applyFill="1" applyBorder="1" applyAlignment="1" applyProtection="1">
      <alignment horizontal="center"/>
      <protection hidden="1"/>
    </xf>
    <xf numFmtId="2" fontId="9" fillId="3" borderId="3" xfId="0" applyNumberFormat="1" applyFont="1" applyFill="1" applyBorder="1" applyAlignment="1" applyProtection="1">
      <alignment horizontal="center"/>
      <protection hidden="1"/>
    </xf>
    <xf numFmtId="1" fontId="7" fillId="4" borderId="3" xfId="0" applyNumberFormat="1" applyFont="1" applyFill="1" applyBorder="1" applyAlignment="1" applyProtection="1">
      <alignment horizontal="center"/>
      <protection hidden="1"/>
    </xf>
    <xf numFmtId="1" fontId="9" fillId="3" borderId="3" xfId="0" applyNumberFormat="1" applyFont="1" applyFill="1" applyBorder="1" applyAlignment="1" applyProtection="1">
      <alignment horizontal="center"/>
      <protection hidden="1"/>
    </xf>
    <xf numFmtId="0" fontId="13" fillId="4" borderId="3" xfId="0" applyFont="1" applyFill="1" applyBorder="1" applyAlignment="1" applyProtection="1">
      <alignment horizontal="center"/>
      <protection hidden="1"/>
    </xf>
    <xf numFmtId="0" fontId="23" fillId="0" borderId="18" xfId="0" applyFont="1" applyBorder="1" applyAlignment="1">
      <alignment horizontal="center"/>
    </xf>
    <xf numFmtId="3" fontId="11" fillId="3" borderId="3" xfId="0" applyNumberFormat="1" applyFont="1" applyFill="1" applyBorder="1" applyAlignment="1">
      <alignment horizontal="center"/>
    </xf>
    <xf numFmtId="2" fontId="7" fillId="0" borderId="3" xfId="0" applyNumberFormat="1" applyFont="1" applyBorder="1" applyAlignment="1" applyProtection="1">
      <alignment horizontal="center"/>
      <protection hidden="1"/>
    </xf>
    <xf numFmtId="0" fontId="23" fillId="0" borderId="18" xfId="0" applyFont="1" applyBorder="1" applyAlignment="1">
      <alignment horizontal="center"/>
    </xf>
    <xf numFmtId="0" fontId="55" fillId="0" borderId="18" xfId="0" applyFont="1" applyBorder="1" applyAlignment="1">
      <alignment vertical="center" wrapText="1" shrinkToFit="1"/>
    </xf>
    <xf numFmtId="49" fontId="55" fillId="0" borderId="18" xfId="0" applyNumberFormat="1" applyFont="1" applyBorder="1" applyAlignment="1">
      <alignment horizontal="center" vertical="center" wrapText="1" shrinkToFit="1"/>
    </xf>
    <xf numFmtId="0" fontId="55" fillId="0" borderId="18" xfId="0" applyFont="1" applyBorder="1" applyAlignment="1">
      <alignment horizontal="center" vertical="center" wrapText="1" shrinkToFit="1"/>
    </xf>
    <xf numFmtId="4" fontId="55" fillId="0" borderId="18" xfId="0" applyNumberFormat="1" applyFont="1" applyBorder="1"/>
    <xf numFmtId="4" fontId="56" fillId="0" borderId="18" xfId="0" applyNumberFormat="1" applyFont="1" applyBorder="1"/>
    <xf numFmtId="14" fontId="28" fillId="0" borderId="18" xfId="0" applyNumberFormat="1" applyFont="1" applyBorder="1" applyAlignment="1">
      <alignment horizontal="center"/>
    </xf>
    <xf numFmtId="0" fontId="57" fillId="5" borderId="0" xfId="2" applyFill="1" applyAlignment="1" applyProtection="1"/>
    <xf numFmtId="0" fontId="54" fillId="11" borderId="0" xfId="0" applyFont="1" applyFill="1" applyBorder="1" applyAlignment="1" applyProtection="1">
      <alignment horizontal="center"/>
      <protection locked="0" hidden="1"/>
    </xf>
    <xf numFmtId="0" fontId="54" fillId="11" borderId="19" xfId="0" applyFont="1" applyFill="1" applyBorder="1" applyAlignment="1" applyProtection="1">
      <alignment horizontal="center"/>
      <protection locked="0" hidden="1"/>
    </xf>
    <xf numFmtId="14" fontId="53" fillId="11" borderId="0" xfId="0" applyNumberFormat="1" applyFont="1" applyFill="1" applyBorder="1" applyAlignment="1" applyProtection="1">
      <alignment horizontal="left" vertical="center"/>
      <protection hidden="1"/>
    </xf>
    <xf numFmtId="0" fontId="15" fillId="6" borderId="1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15" fillId="0" borderId="16" xfId="0" applyFont="1" applyBorder="1"/>
    <xf numFmtId="0" fontId="15" fillId="0" borderId="15" xfId="0" applyFont="1" applyBorder="1"/>
    <xf numFmtId="0" fontId="9" fillId="4" borderId="7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2" fontId="9" fillId="4" borderId="7" xfId="0" applyNumberFormat="1" applyFont="1" applyFill="1" applyBorder="1" applyAlignment="1" applyProtection="1">
      <alignment horizontal="center"/>
      <protection hidden="1"/>
    </xf>
    <xf numFmtId="1" fontId="43" fillId="13" borderId="19" xfId="0" applyNumberFormat="1" applyFont="1" applyFill="1" applyBorder="1" applyAlignment="1" applyProtection="1">
      <alignment horizontal="center" vertical="center"/>
      <protection locked="0" hidden="1"/>
    </xf>
    <xf numFmtId="2" fontId="43" fillId="4" borderId="19" xfId="0" applyNumberFormat="1" applyFont="1" applyFill="1" applyBorder="1" applyAlignment="1" applyProtection="1">
      <alignment horizontal="right" vertical="center"/>
      <protection hidden="1"/>
    </xf>
    <xf numFmtId="0" fontId="43" fillId="4" borderId="19" xfId="0" applyFont="1" applyFill="1" applyBorder="1" applyAlignment="1">
      <alignment horizontal="right" vertical="center"/>
    </xf>
    <xf numFmtId="0" fontId="11" fillId="4" borderId="6" xfId="0" applyFont="1" applyFill="1" applyBorder="1" applyAlignment="1" applyProtection="1">
      <alignment horizontal="center" wrapText="1"/>
      <protection locked="0"/>
    </xf>
    <xf numFmtId="0" fontId="11" fillId="4" borderId="10" xfId="0" applyFont="1" applyFill="1" applyBorder="1" applyAlignment="1" applyProtection="1">
      <alignment horizontal="center" wrapText="1"/>
      <protection locked="0"/>
    </xf>
    <xf numFmtId="0" fontId="23" fillId="0" borderId="18" xfId="0" applyFont="1" applyBorder="1" applyAlignment="1">
      <alignment horizontal="center"/>
    </xf>
    <xf numFmtId="0" fontId="26" fillId="7" borderId="20" xfId="0" applyFont="1" applyFill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0" fontId="40" fillId="0" borderId="19" xfId="0" applyFont="1" applyBorder="1"/>
  </cellXfs>
  <cellStyles count="3">
    <cellStyle name="Hypertextový odkaz" xfId="2" builtinId="8"/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27</xdr:row>
      <xdr:rowOff>21166</xdr:rowOff>
    </xdr:from>
    <xdr:to>
      <xdr:col>19</xdr:col>
      <xdr:colOff>571288</xdr:colOff>
      <xdr:row>58</xdr:row>
      <xdr:rowOff>72305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52EFCC23-0458-4155-88EF-926F934FC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9333" y="6887633"/>
          <a:ext cx="11561022" cy="5046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26</xdr:row>
      <xdr:rowOff>12700</xdr:rowOff>
    </xdr:from>
    <xdr:to>
      <xdr:col>21</xdr:col>
      <xdr:colOff>24130</xdr:colOff>
      <xdr:row>56</xdr:row>
      <xdr:rowOff>128397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A99AFB92-55D3-4941-B506-7E4A9BCFB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984875"/>
          <a:ext cx="11035030" cy="5078222"/>
        </a:xfrm>
        <a:prstGeom prst="rect">
          <a:avLst/>
        </a:prstGeom>
      </xdr:spPr>
    </xdr:pic>
    <xdr:clientData/>
  </xdr:twoCellAnchor>
  <xdr:twoCellAnchor editAs="oneCell">
    <xdr:from>
      <xdr:col>14</xdr:col>
      <xdr:colOff>365760</xdr:colOff>
      <xdr:row>1</xdr:row>
      <xdr:rowOff>135932</xdr:rowOff>
    </xdr:from>
    <xdr:to>
      <xdr:col>20</xdr:col>
      <xdr:colOff>634365</xdr:colOff>
      <xdr:row>5</xdr:row>
      <xdr:rowOff>355600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5FD99A46-1C61-423B-93E9-3B182FF7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00060" y="301032"/>
          <a:ext cx="2948305" cy="8419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tel:776082872" TargetMode="External"/><Relationship Id="rId1" Type="http://schemas.openxmlformats.org/officeDocument/2006/relationships/hyperlink" Target="mailto:ssvehlik@seznam.cz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Y111"/>
  <sheetViews>
    <sheetView tabSelected="1" zoomScale="75" zoomScaleNormal="75" workbookViewId="0">
      <selection activeCell="AB26" sqref="AB26"/>
    </sheetView>
  </sheetViews>
  <sheetFormatPr defaultColWidth="11.44140625" defaultRowHeight="13.2"/>
  <cols>
    <col min="1" max="1" width="8.88671875" customWidth="1"/>
    <col min="2" max="2" width="53.5546875" customWidth="1"/>
    <col min="3" max="3" width="7.5546875" bestFit="1" customWidth="1"/>
    <col min="4" max="4" width="3.6640625" customWidth="1"/>
    <col min="5" max="5" width="4.33203125" customWidth="1"/>
    <col min="6" max="6" width="4.33203125" bestFit="1" customWidth="1"/>
    <col min="7" max="7" width="4.6640625" customWidth="1"/>
    <col min="8" max="8" width="3.6640625" customWidth="1"/>
    <col min="9" max="9" width="3.33203125" customWidth="1"/>
    <col min="10" max="10" width="5.6640625" bestFit="1" customWidth="1"/>
    <col min="11" max="11" width="6.44140625" customWidth="1"/>
    <col min="12" max="12" width="11.109375" bestFit="1" customWidth="1"/>
    <col min="13" max="13" width="5.6640625" customWidth="1"/>
    <col min="14" max="17" width="6" customWidth="1"/>
    <col min="18" max="19" width="6.33203125" customWidth="1"/>
    <col min="20" max="20" width="10" customWidth="1"/>
    <col min="21" max="21" width="10.88671875" customWidth="1"/>
    <col min="33" max="103" width="11.44140625" style="187"/>
  </cols>
  <sheetData>
    <row r="1" spans="1:103">
      <c r="A1" s="16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188"/>
      <c r="AH1" s="188"/>
      <c r="AI1" s="188"/>
      <c r="AJ1" s="188"/>
      <c r="AK1" s="188"/>
      <c r="AL1" s="188"/>
    </row>
    <row r="2" spans="1:103" ht="13.2" customHeight="1">
      <c r="A2" s="212" t="s">
        <v>408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188"/>
      <c r="AH2" s="188"/>
      <c r="AI2" s="188"/>
      <c r="AJ2" s="188"/>
      <c r="AK2" s="188"/>
      <c r="AL2" s="188"/>
    </row>
    <row r="3" spans="1:103" ht="1.95" customHeight="1">
      <c r="A3" s="212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188"/>
      <c r="AH3" s="188"/>
      <c r="AI3" s="188"/>
      <c r="AJ3" s="188"/>
      <c r="AK3" s="188"/>
      <c r="AL3" s="188"/>
    </row>
    <row r="4" spans="1:103" s="164" customFormat="1" ht="30" customHeight="1">
      <c r="A4" s="212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89"/>
      <c r="AH4" s="189"/>
      <c r="AI4" s="189"/>
      <c r="AJ4" s="189"/>
      <c r="AK4" s="189"/>
      <c r="AL4" s="189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</row>
    <row r="5" spans="1:103" ht="4.2" customHeight="1">
      <c r="A5" s="166"/>
      <c r="B5" s="173"/>
      <c r="C5" s="173"/>
      <c r="D5" s="174"/>
      <c r="E5" s="174"/>
      <c r="F5" s="174"/>
      <c r="G5" s="174"/>
      <c r="H5" s="174"/>
      <c r="I5" s="174"/>
      <c r="J5" s="175"/>
      <c r="K5" s="175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188"/>
      <c r="AH5" s="188"/>
      <c r="AI5" s="188"/>
      <c r="AJ5" s="188"/>
      <c r="AK5" s="188"/>
      <c r="AL5" s="188"/>
    </row>
    <row r="6" spans="1:103" ht="30">
      <c r="A6" s="185"/>
      <c r="B6" s="172" t="s">
        <v>30</v>
      </c>
      <c r="C6" s="171"/>
      <c r="D6" s="169"/>
      <c r="E6" s="169"/>
      <c r="F6" s="169"/>
      <c r="G6" s="169"/>
      <c r="H6" s="169"/>
      <c r="I6" s="169"/>
      <c r="J6" s="167"/>
      <c r="K6" s="168"/>
      <c r="L6" s="1"/>
      <c r="M6" s="1"/>
      <c r="N6" s="7"/>
      <c r="O6" s="1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188"/>
      <c r="AH6" s="188"/>
      <c r="AI6" s="188"/>
      <c r="AJ6" s="188"/>
      <c r="AK6" s="188"/>
      <c r="AL6" s="188"/>
    </row>
    <row r="7" spans="1:103" ht="18" customHeight="1">
      <c r="A7" s="167"/>
      <c r="B7" s="166"/>
      <c r="C7" s="166"/>
      <c r="D7" s="166"/>
      <c r="E7" s="166"/>
      <c r="F7" s="170"/>
      <c r="G7" s="170"/>
      <c r="H7" s="170"/>
      <c r="I7" s="170"/>
      <c r="J7" s="166"/>
      <c r="K7" s="165"/>
      <c r="L7" s="2"/>
      <c r="M7" s="1"/>
      <c r="N7" s="7"/>
      <c r="O7" s="1"/>
      <c r="P7" s="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188"/>
      <c r="AH7" s="188"/>
      <c r="AI7" s="188"/>
      <c r="AJ7" s="188"/>
      <c r="AK7" s="188"/>
      <c r="AL7" s="188"/>
    </row>
    <row r="8" spans="1:103" ht="17.399999999999999">
      <c r="A8" s="168"/>
      <c r="B8" s="176" t="s">
        <v>447</v>
      </c>
      <c r="C8" s="166"/>
      <c r="D8" s="166"/>
      <c r="E8" s="170"/>
      <c r="F8" s="170"/>
      <c r="G8" s="170"/>
      <c r="H8" s="170"/>
      <c r="I8" s="170"/>
      <c r="J8" s="170"/>
      <c r="K8" s="165"/>
      <c r="L8" s="3"/>
      <c r="M8" s="1"/>
      <c r="N8" s="7"/>
      <c r="O8" s="1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188"/>
      <c r="AH8" s="188"/>
      <c r="AI8" s="188"/>
      <c r="AJ8" s="188"/>
      <c r="AK8" s="188"/>
      <c r="AL8" s="188"/>
    </row>
    <row r="9" spans="1:103" ht="36" customHeight="1">
      <c r="A9" s="182"/>
      <c r="B9" s="210" t="s">
        <v>443</v>
      </c>
      <c r="C9" s="210"/>
      <c r="D9" s="210"/>
      <c r="E9" s="210"/>
      <c r="F9" s="210"/>
      <c r="G9" s="210"/>
      <c r="H9" s="210"/>
      <c r="I9" s="210"/>
      <c r="J9" s="210"/>
      <c r="K9" s="210"/>
      <c r="L9" s="3"/>
      <c r="M9" s="1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188"/>
      <c r="AH9" s="188"/>
      <c r="AI9" s="188"/>
      <c r="AJ9" s="188"/>
      <c r="AK9" s="188"/>
      <c r="AL9" s="188"/>
    </row>
    <row r="10" spans="1:103" ht="19.95" customHeight="1">
      <c r="A10" s="183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1"/>
      <c r="M10" s="1"/>
      <c r="N10" s="180" t="s">
        <v>444</v>
      </c>
      <c r="O10" s="40"/>
      <c r="P10" s="40"/>
      <c r="Q10" s="40"/>
      <c r="R10" s="40"/>
      <c r="S10" s="40"/>
      <c r="T10" s="40"/>
      <c r="U10" s="18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188"/>
      <c r="AH10" s="188"/>
      <c r="AI10" s="188"/>
      <c r="AJ10" s="188"/>
      <c r="AK10" s="188"/>
      <c r="AL10" s="188"/>
    </row>
    <row r="11" spans="1:103" ht="15" customHeight="1">
      <c r="A11" s="162"/>
      <c r="B11" s="4"/>
      <c r="C11" s="4"/>
      <c r="D11" s="2"/>
      <c r="E11" s="2"/>
      <c r="F11" s="2"/>
      <c r="G11" s="5"/>
      <c r="H11" s="5"/>
      <c r="I11" s="5"/>
      <c r="J11" s="6"/>
      <c r="K11" s="2"/>
      <c r="L11" s="1"/>
      <c r="M11" s="2"/>
      <c r="N11" s="209" t="s">
        <v>445</v>
      </c>
      <c r="O11" s="40"/>
      <c r="P11" s="40"/>
      <c r="Q11" s="40"/>
      <c r="R11" s="40"/>
      <c r="S11" s="40"/>
      <c r="T11" s="40"/>
      <c r="U11" s="18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188"/>
      <c r="AH11" s="188"/>
      <c r="AI11" s="188"/>
      <c r="AJ11" s="188"/>
      <c r="AK11" s="188"/>
      <c r="AL11" s="188"/>
    </row>
    <row r="12" spans="1:103" ht="15">
      <c r="A12" s="162"/>
      <c r="B12" s="4"/>
      <c r="C12" s="4"/>
      <c r="D12" s="2"/>
      <c r="E12" s="2"/>
      <c r="F12" s="2"/>
      <c r="G12" s="5"/>
      <c r="H12" s="5"/>
      <c r="I12" s="5"/>
      <c r="J12" s="2"/>
      <c r="L12" s="1"/>
      <c r="M12" s="7"/>
      <c r="N12" s="209" t="s">
        <v>446</v>
      </c>
      <c r="O12" s="40"/>
      <c r="P12" s="40"/>
      <c r="Q12" s="40"/>
      <c r="R12" s="40"/>
      <c r="S12" s="40"/>
      <c r="T12" s="40"/>
      <c r="U12" s="18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188"/>
      <c r="AH12" s="188"/>
      <c r="AI12" s="188"/>
      <c r="AJ12" s="188"/>
      <c r="AK12" s="188"/>
      <c r="AL12" s="188"/>
    </row>
    <row r="13" spans="1:103" ht="28.2" customHeight="1">
      <c r="A13" s="186"/>
      <c r="B13" s="177"/>
      <c r="C13" s="177"/>
      <c r="D13" s="178"/>
      <c r="E13" s="178"/>
      <c r="F13" s="222" t="s">
        <v>29</v>
      </c>
      <c r="G13" s="223"/>
      <c r="H13" s="223"/>
      <c r="I13" s="221">
        <v>6000</v>
      </c>
      <c r="J13" s="221"/>
      <c r="K13" s="179" t="s">
        <v>394</v>
      </c>
      <c r="L13" s="1"/>
      <c r="M13" s="7"/>
      <c r="N13" s="181"/>
      <c r="O13" s="40"/>
      <c r="P13" s="40"/>
      <c r="Q13" s="39"/>
      <c r="R13" s="40"/>
      <c r="S13" s="40"/>
      <c r="T13" s="40"/>
      <c r="U13" s="187"/>
      <c r="V13" s="191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188"/>
      <c r="AH13" s="188"/>
      <c r="AI13" s="188"/>
      <c r="AJ13" s="188"/>
      <c r="AK13" s="188"/>
      <c r="AL13" s="188"/>
    </row>
    <row r="14" spans="1:103" ht="13.8" thickBot="1">
      <c r="A14" s="184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8"/>
      <c r="N14" s="8"/>
      <c r="O14" s="41"/>
      <c r="P14" s="41"/>
      <c r="Q14" s="41"/>
      <c r="R14" s="41"/>
      <c r="S14" s="41"/>
      <c r="T14" s="42"/>
      <c r="U14" s="43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188"/>
      <c r="AH14" s="188"/>
      <c r="AI14" s="188"/>
      <c r="AJ14" s="188"/>
      <c r="AK14" s="188"/>
      <c r="AL14" s="188"/>
    </row>
    <row r="15" spans="1:103" ht="20.25" customHeight="1" thickBot="1">
      <c r="A15" s="35" t="s">
        <v>3</v>
      </c>
      <c r="B15" s="11" t="s">
        <v>28</v>
      </c>
      <c r="C15" s="63"/>
      <c r="D15" s="220" t="s">
        <v>27</v>
      </c>
      <c r="E15" s="218"/>
      <c r="F15" s="218"/>
      <c r="G15" s="218"/>
      <c r="H15" s="218"/>
      <c r="I15" s="219"/>
      <c r="J15" s="12" t="s">
        <v>405</v>
      </c>
      <c r="K15" s="13" t="s">
        <v>48</v>
      </c>
      <c r="L15" s="14" t="s">
        <v>4</v>
      </c>
      <c r="M15" s="217" t="s">
        <v>32</v>
      </c>
      <c r="N15" s="218"/>
      <c r="O15" s="218"/>
      <c r="P15" s="218"/>
      <c r="Q15" s="218"/>
      <c r="R15" s="219"/>
      <c r="S15" s="224" t="s">
        <v>407</v>
      </c>
      <c r="T15" s="15" t="s">
        <v>7</v>
      </c>
      <c r="U15" s="15" t="s">
        <v>7</v>
      </c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188"/>
      <c r="AH15" s="188"/>
      <c r="AI15" s="188"/>
      <c r="AJ15" s="188"/>
      <c r="AK15" s="188"/>
      <c r="AL15" s="188"/>
    </row>
    <row r="16" spans="1:103" ht="21.75" customHeight="1" thickBot="1">
      <c r="A16" s="36"/>
      <c r="B16" s="16" t="s">
        <v>15</v>
      </c>
      <c r="C16" s="64" t="s">
        <v>376</v>
      </c>
      <c r="D16" s="17" t="s">
        <v>0</v>
      </c>
      <c r="E16" s="18" t="s">
        <v>33</v>
      </c>
      <c r="F16" s="19" t="s">
        <v>34</v>
      </c>
      <c r="G16" s="18" t="s">
        <v>1</v>
      </c>
      <c r="H16" s="20" t="s">
        <v>16</v>
      </c>
      <c r="I16" s="20" t="s">
        <v>17</v>
      </c>
      <c r="J16" s="21"/>
      <c r="K16" s="22"/>
      <c r="L16" s="23" t="s">
        <v>406</v>
      </c>
      <c r="M16" s="24" t="s">
        <v>2</v>
      </c>
      <c r="N16" s="20" t="s">
        <v>33</v>
      </c>
      <c r="O16" s="19" t="s">
        <v>34</v>
      </c>
      <c r="P16" s="25" t="s">
        <v>1</v>
      </c>
      <c r="Q16" s="24" t="s">
        <v>16</v>
      </c>
      <c r="R16" s="24" t="s">
        <v>17</v>
      </c>
      <c r="S16" s="225"/>
      <c r="T16" s="26" t="s">
        <v>14</v>
      </c>
      <c r="U16" s="160">
        <v>0.21</v>
      </c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188"/>
      <c r="AH16" s="188"/>
      <c r="AI16" s="188"/>
      <c r="AJ16" s="188"/>
      <c r="AK16" s="188"/>
      <c r="AL16" s="188"/>
    </row>
    <row r="17" spans="1:45" ht="17.25" customHeight="1" thickBot="1">
      <c r="A17" s="146" t="s">
        <v>37</v>
      </c>
      <c r="B17" s="144" t="s">
        <v>440</v>
      </c>
      <c r="C17" s="198" t="str">
        <f t="shared" ref="C17:C24" si="0">IFERROR(VLOOKUP($B17,PodkladDleCeniku,2,FALSE),"")</f>
        <v>000313</v>
      </c>
      <c r="D17" s="27">
        <f t="shared" ref="D17:D24" si="1">IFERROR(VLOOKUP($B17,PodkladDleCeniku,9,FALSE),"")</f>
        <v>27</v>
      </c>
      <c r="E17" s="27">
        <f t="shared" ref="E17:E24" si="2">IFERROR(VLOOKUP($B17,PodkladDleCeniku,10,FALSE),"")</f>
        <v>0</v>
      </c>
      <c r="F17" s="27">
        <f t="shared" ref="F17:F24" si="3">IFERROR(VLOOKUP($B17,PodkladDleCeniku,11,FALSE),"")</f>
        <v>0</v>
      </c>
      <c r="G17" s="27">
        <f t="shared" ref="G17:G24" si="4">IFERROR(VLOOKUP($B17,PodkladDleCeniku,12,FALSE),"")</f>
        <v>0</v>
      </c>
      <c r="H17" s="27">
        <f t="shared" ref="H17:H24" si="5">IFERROR(VLOOKUP($B17,PodkladDleCeniku,13,FALSE),"")</f>
        <v>0</v>
      </c>
      <c r="I17" s="27">
        <f t="shared" ref="I17:I24" si="6">IFERROR(VLOOKUP($B17,PodkladDleCeniku,14,FALSE),"")</f>
        <v>0</v>
      </c>
      <c r="J17" s="196">
        <v>200</v>
      </c>
      <c r="K17" s="193">
        <f t="shared" ref="K17:K24" si="7">IF($B17="","",IFERROR($J17/VLOOKUP($B17,PodkladDleCeniku,15,FALSE),"???"))</f>
        <v>10</v>
      </c>
      <c r="L17" s="161">
        <v>2.67</v>
      </c>
      <c r="M17" s="201">
        <f t="shared" ref="M17" si="8">IF($B17="","",IFERROR(D17*0.01*$L17*0.01*1000,"???"))</f>
        <v>7.2090000000000005</v>
      </c>
      <c r="N17" s="201">
        <f t="shared" ref="N17" si="9">IF($B17="","",IFERROR(E17*0.01*$L17*0.01*1000,"???"))</f>
        <v>0</v>
      </c>
      <c r="O17" s="201">
        <f t="shared" ref="O17" si="10">IF($B17="","",IFERROR(F17*0.01*$L17*0.01*1000,"???"))</f>
        <v>0</v>
      </c>
      <c r="P17" s="201">
        <f t="shared" ref="P17" si="11">IF($B17="","",IFERROR(G17*0.01*$L17*0.01*1000,"???"))</f>
        <v>0</v>
      </c>
      <c r="Q17" s="201">
        <f t="shared" ref="Q17" si="12">IF($B17="","",IFERROR(H17*0.01*$L17*0.01*1000,"???"))</f>
        <v>0</v>
      </c>
      <c r="R17" s="201">
        <f t="shared" ref="R17" si="13">IF($B17="","",IFERROR(I17*0.01*$L17*0.01*1000,"???"))</f>
        <v>0</v>
      </c>
      <c r="S17" s="28">
        <f t="shared" ref="S17:S24" si="14">IFERROR(VLOOKUP($B17,PodkladDleCeniku,6,FALSE),"")</f>
        <v>34</v>
      </c>
      <c r="T17" s="29">
        <f>IF($B17="","",IFERROR($J17*$S17,"???"))</f>
        <v>6800</v>
      </c>
      <c r="U17" s="29">
        <f t="shared" ref="U17:U24" si="15">IF($B17="","",IFERROR($T17*(1+$U$16),"???"))</f>
        <v>8228</v>
      </c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188"/>
      <c r="AH17" s="188"/>
      <c r="AI17" s="188"/>
      <c r="AJ17" s="188"/>
      <c r="AK17" s="188"/>
      <c r="AL17" s="188"/>
    </row>
    <row r="18" spans="1:45" ht="18" customHeight="1" thickBot="1">
      <c r="A18" s="146" t="s">
        <v>8</v>
      </c>
      <c r="B18" s="144" t="s">
        <v>441</v>
      </c>
      <c r="C18" s="198" t="str">
        <f t="shared" si="0"/>
        <v>071811</v>
      </c>
      <c r="D18" s="27">
        <f t="shared" si="1"/>
        <v>15</v>
      </c>
      <c r="E18" s="27">
        <f t="shared" si="2"/>
        <v>0</v>
      </c>
      <c r="F18" s="27">
        <f t="shared" si="3"/>
        <v>20</v>
      </c>
      <c r="G18" s="27">
        <f t="shared" si="4"/>
        <v>5</v>
      </c>
      <c r="H18" s="27">
        <f t="shared" si="5"/>
        <v>0</v>
      </c>
      <c r="I18" s="27">
        <f t="shared" si="6"/>
        <v>0</v>
      </c>
      <c r="J18" s="196">
        <v>200</v>
      </c>
      <c r="K18" s="193">
        <f t="shared" si="7"/>
        <v>10</v>
      </c>
      <c r="L18" s="161">
        <v>2.67</v>
      </c>
      <c r="M18" s="201">
        <f t="shared" ref="M18:R22" si="16">IF($B18="","",IFERROR(D18*0.01*$L18*0.01*1000,"???"))</f>
        <v>4.0049999999999999</v>
      </c>
      <c r="N18" s="201">
        <f t="shared" si="16"/>
        <v>0</v>
      </c>
      <c r="O18" s="201">
        <f t="shared" si="16"/>
        <v>5.34</v>
      </c>
      <c r="P18" s="201">
        <f t="shared" si="16"/>
        <v>1.335</v>
      </c>
      <c r="Q18" s="201">
        <f t="shared" si="16"/>
        <v>0</v>
      </c>
      <c r="R18" s="201">
        <f t="shared" si="16"/>
        <v>0</v>
      </c>
      <c r="S18" s="28">
        <f t="shared" si="14"/>
        <v>36</v>
      </c>
      <c r="T18" s="29">
        <f>IF($B18="","",IFERROR($J18*$S18,"???"))</f>
        <v>7200</v>
      </c>
      <c r="U18" s="29">
        <f t="shared" si="15"/>
        <v>8712</v>
      </c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188"/>
      <c r="AH18" s="188"/>
      <c r="AI18" s="188"/>
      <c r="AJ18" s="188"/>
      <c r="AK18" s="188"/>
      <c r="AL18" s="188"/>
    </row>
    <row r="19" spans="1:45" ht="17.25" customHeight="1" thickBot="1">
      <c r="A19" s="146" t="s">
        <v>9</v>
      </c>
      <c r="B19" s="144" t="s">
        <v>442</v>
      </c>
      <c r="C19" s="198" t="str">
        <f t="shared" si="0"/>
        <v>071233</v>
      </c>
      <c r="D19" s="27">
        <f t="shared" si="1"/>
        <v>20</v>
      </c>
      <c r="E19" s="27">
        <f t="shared" si="2"/>
        <v>0</v>
      </c>
      <c r="F19" s="27">
        <f t="shared" si="3"/>
        <v>0</v>
      </c>
      <c r="G19" s="27">
        <f t="shared" si="4"/>
        <v>0</v>
      </c>
      <c r="H19" s="27">
        <f t="shared" si="5"/>
        <v>0</v>
      </c>
      <c r="I19" s="27">
        <f t="shared" si="6"/>
        <v>23</v>
      </c>
      <c r="J19" s="196">
        <v>200</v>
      </c>
      <c r="K19" s="193">
        <f t="shared" si="7"/>
        <v>10</v>
      </c>
      <c r="L19" s="161">
        <v>2.67</v>
      </c>
      <c r="M19" s="201">
        <f t="shared" si="16"/>
        <v>5.34</v>
      </c>
      <c r="N19" s="201">
        <f t="shared" si="16"/>
        <v>0</v>
      </c>
      <c r="O19" s="201">
        <f t="shared" si="16"/>
        <v>0</v>
      </c>
      <c r="P19" s="201">
        <f t="shared" si="16"/>
        <v>0</v>
      </c>
      <c r="Q19" s="201">
        <f t="shared" si="16"/>
        <v>0</v>
      </c>
      <c r="R19" s="201">
        <f t="shared" si="16"/>
        <v>6.141</v>
      </c>
      <c r="S19" s="28">
        <f t="shared" si="14"/>
        <v>34.5</v>
      </c>
      <c r="T19" s="29">
        <f t="shared" ref="T19:T24" si="17">IF($B19="","",IFERROR($J19*$S19,"???"))</f>
        <v>6900</v>
      </c>
      <c r="U19" s="29">
        <f t="shared" si="15"/>
        <v>8349</v>
      </c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188"/>
      <c r="AH19" s="188"/>
      <c r="AI19" s="188"/>
      <c r="AJ19" s="188"/>
      <c r="AK19" s="188"/>
      <c r="AL19" s="188"/>
    </row>
    <row r="20" spans="1:45" ht="18" customHeight="1" thickBot="1">
      <c r="A20" s="146" t="s">
        <v>10</v>
      </c>
      <c r="B20" s="144" t="s">
        <v>441</v>
      </c>
      <c r="C20" s="198" t="str">
        <f t="shared" si="0"/>
        <v>071811</v>
      </c>
      <c r="D20" s="27">
        <f t="shared" si="1"/>
        <v>15</v>
      </c>
      <c r="E20" s="27">
        <f t="shared" si="2"/>
        <v>0</v>
      </c>
      <c r="F20" s="27">
        <f t="shared" si="3"/>
        <v>20</v>
      </c>
      <c r="G20" s="27">
        <f t="shared" si="4"/>
        <v>5</v>
      </c>
      <c r="H20" s="27">
        <f t="shared" si="5"/>
        <v>0</v>
      </c>
      <c r="I20" s="27">
        <f t="shared" si="6"/>
        <v>0</v>
      </c>
      <c r="J20" s="196">
        <v>200</v>
      </c>
      <c r="K20" s="193">
        <f t="shared" si="7"/>
        <v>10</v>
      </c>
      <c r="L20" s="161">
        <v>2.67</v>
      </c>
      <c r="M20" s="201">
        <f t="shared" si="16"/>
        <v>4.0049999999999999</v>
      </c>
      <c r="N20" s="201">
        <f t="shared" si="16"/>
        <v>0</v>
      </c>
      <c r="O20" s="201">
        <f t="shared" si="16"/>
        <v>5.34</v>
      </c>
      <c r="P20" s="201">
        <f t="shared" si="16"/>
        <v>1.335</v>
      </c>
      <c r="Q20" s="201">
        <f t="shared" si="16"/>
        <v>0</v>
      </c>
      <c r="R20" s="201">
        <f t="shared" si="16"/>
        <v>0</v>
      </c>
      <c r="S20" s="28">
        <f t="shared" si="14"/>
        <v>36</v>
      </c>
      <c r="T20" s="29">
        <f t="shared" si="17"/>
        <v>7200</v>
      </c>
      <c r="U20" s="29">
        <f t="shared" si="15"/>
        <v>8712</v>
      </c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188"/>
      <c r="AH20" s="188"/>
      <c r="AI20" s="188"/>
      <c r="AJ20" s="188"/>
      <c r="AK20" s="188"/>
      <c r="AL20" s="188"/>
    </row>
    <row r="21" spans="1:45" ht="18" customHeight="1" thickBot="1">
      <c r="A21" s="146" t="s">
        <v>11</v>
      </c>
      <c r="B21" s="144" t="s">
        <v>441</v>
      </c>
      <c r="C21" s="198" t="str">
        <f t="shared" si="0"/>
        <v>071811</v>
      </c>
      <c r="D21" s="27">
        <f t="shared" si="1"/>
        <v>15</v>
      </c>
      <c r="E21" s="27">
        <f t="shared" si="2"/>
        <v>0</v>
      </c>
      <c r="F21" s="27">
        <f t="shared" si="3"/>
        <v>20</v>
      </c>
      <c r="G21" s="27">
        <f t="shared" si="4"/>
        <v>5</v>
      </c>
      <c r="H21" s="27">
        <f t="shared" si="5"/>
        <v>0</v>
      </c>
      <c r="I21" s="27">
        <f t="shared" si="6"/>
        <v>0</v>
      </c>
      <c r="J21" s="196">
        <v>200</v>
      </c>
      <c r="K21" s="193">
        <f t="shared" si="7"/>
        <v>10</v>
      </c>
      <c r="L21" s="161">
        <v>2.67</v>
      </c>
      <c r="M21" s="201">
        <f t="shared" ref="M21" si="18">IF($B21="","",IFERROR(D21*0.01*$L21*0.01*1000,"???"))</f>
        <v>4.0049999999999999</v>
      </c>
      <c r="N21" s="201">
        <f t="shared" ref="N21" si="19">IF($B21="","",IFERROR(E21*0.01*$L21*0.01*1000,"???"))</f>
        <v>0</v>
      </c>
      <c r="O21" s="201">
        <f t="shared" ref="O21" si="20">IF($B21="","",IFERROR(F21*0.01*$L21*0.01*1000,"???"))</f>
        <v>5.34</v>
      </c>
      <c r="P21" s="201">
        <f t="shared" ref="P21" si="21">IF($B21="","",IFERROR(G21*0.01*$L21*0.01*1000,"???"))</f>
        <v>1.335</v>
      </c>
      <c r="Q21" s="201">
        <f t="shared" ref="Q21" si="22">IF($B21="","",IFERROR(H21*0.01*$L21*0.01*1000,"???"))</f>
        <v>0</v>
      </c>
      <c r="R21" s="201">
        <f t="shared" ref="R21" si="23">IF($B21="","",IFERROR(I21*0.01*$L21*0.01*1000,"???"))</f>
        <v>0</v>
      </c>
      <c r="S21" s="28">
        <f t="shared" si="14"/>
        <v>36</v>
      </c>
      <c r="T21" s="29">
        <f t="shared" si="17"/>
        <v>7200</v>
      </c>
      <c r="U21" s="29">
        <f t="shared" si="15"/>
        <v>8712</v>
      </c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188"/>
      <c r="AH21" s="188"/>
      <c r="AI21" s="188"/>
      <c r="AJ21" s="188"/>
      <c r="AK21" s="188"/>
      <c r="AL21" s="188"/>
    </row>
    <row r="22" spans="1:45" ht="18" customHeight="1" thickBot="1">
      <c r="A22" s="146" t="s">
        <v>19</v>
      </c>
      <c r="B22" s="144" t="s">
        <v>441</v>
      </c>
      <c r="C22" s="198" t="str">
        <f t="shared" si="0"/>
        <v>071811</v>
      </c>
      <c r="D22" s="27">
        <f t="shared" si="1"/>
        <v>15</v>
      </c>
      <c r="E22" s="27">
        <f t="shared" si="2"/>
        <v>0</v>
      </c>
      <c r="F22" s="27">
        <f t="shared" si="3"/>
        <v>20</v>
      </c>
      <c r="G22" s="27">
        <f t="shared" si="4"/>
        <v>5</v>
      </c>
      <c r="H22" s="27">
        <f t="shared" si="5"/>
        <v>0</v>
      </c>
      <c r="I22" s="27">
        <f t="shared" si="6"/>
        <v>0</v>
      </c>
      <c r="J22" s="196">
        <v>200</v>
      </c>
      <c r="K22" s="193">
        <f t="shared" si="7"/>
        <v>10</v>
      </c>
      <c r="L22" s="161">
        <v>2.67</v>
      </c>
      <c r="M22" s="201">
        <f t="shared" si="16"/>
        <v>4.0049999999999999</v>
      </c>
      <c r="N22" s="201">
        <f t="shared" si="16"/>
        <v>0</v>
      </c>
      <c r="O22" s="201">
        <f t="shared" si="16"/>
        <v>5.34</v>
      </c>
      <c r="P22" s="201">
        <f t="shared" si="16"/>
        <v>1.335</v>
      </c>
      <c r="Q22" s="201">
        <f t="shared" si="16"/>
        <v>0</v>
      </c>
      <c r="R22" s="201">
        <f t="shared" si="16"/>
        <v>0</v>
      </c>
      <c r="S22" s="28">
        <f t="shared" si="14"/>
        <v>36</v>
      </c>
      <c r="T22" s="29">
        <f t="shared" si="17"/>
        <v>7200</v>
      </c>
      <c r="U22" s="29">
        <f t="shared" si="15"/>
        <v>8712</v>
      </c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188"/>
      <c r="AH22" s="188"/>
      <c r="AI22" s="188"/>
      <c r="AJ22" s="188"/>
      <c r="AK22" s="188"/>
      <c r="AL22" s="188"/>
    </row>
    <row r="23" spans="1:45" ht="18" customHeight="1" thickBot="1">
      <c r="A23" s="146" t="s">
        <v>12</v>
      </c>
      <c r="B23" s="144" t="s">
        <v>442</v>
      </c>
      <c r="C23" s="198" t="str">
        <f t="shared" si="0"/>
        <v>071233</v>
      </c>
      <c r="D23" s="27">
        <f t="shared" si="1"/>
        <v>20</v>
      </c>
      <c r="E23" s="27">
        <f t="shared" si="2"/>
        <v>0</v>
      </c>
      <c r="F23" s="27">
        <f t="shared" si="3"/>
        <v>0</v>
      </c>
      <c r="G23" s="27">
        <f t="shared" si="4"/>
        <v>0</v>
      </c>
      <c r="H23" s="27">
        <f t="shared" si="5"/>
        <v>0</v>
      </c>
      <c r="I23" s="27">
        <f t="shared" si="6"/>
        <v>23</v>
      </c>
      <c r="J23" s="196">
        <v>200</v>
      </c>
      <c r="K23" s="193">
        <f t="shared" si="7"/>
        <v>10</v>
      </c>
      <c r="L23" s="161">
        <v>2.67</v>
      </c>
      <c r="M23" s="201">
        <f t="shared" ref="M23" si="24">IF($B23="","",IFERROR(D23*0.01*$L23*0.01*1000,"???"))</f>
        <v>5.34</v>
      </c>
      <c r="N23" s="201">
        <f t="shared" ref="N23" si="25">IF($B23="","",IFERROR(E23*0.01*$L23*0.01*1000,"???"))</f>
        <v>0</v>
      </c>
      <c r="O23" s="201">
        <f t="shared" ref="O23" si="26">IF($B23="","",IFERROR(F23*0.01*$L23*0.01*1000,"???"))</f>
        <v>0</v>
      </c>
      <c r="P23" s="201">
        <f t="shared" ref="P23" si="27">IF($B23="","",IFERROR(G23*0.01*$L23*0.01*1000,"???"))</f>
        <v>0</v>
      </c>
      <c r="Q23" s="201">
        <f t="shared" ref="Q23" si="28">IF($B23="","",IFERROR(H23*0.01*$L23*0.01*1000,"???"))</f>
        <v>0</v>
      </c>
      <c r="R23" s="201">
        <f t="shared" ref="R23" si="29">IF($B23="","",IFERROR(I23*0.01*$L23*0.01*1000,"???"))</f>
        <v>6.141</v>
      </c>
      <c r="S23" s="28">
        <f t="shared" si="14"/>
        <v>34.5</v>
      </c>
      <c r="T23" s="29">
        <f t="shared" si="17"/>
        <v>6900</v>
      </c>
      <c r="U23" s="29">
        <f t="shared" si="15"/>
        <v>8349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188"/>
      <c r="AH23" s="188"/>
      <c r="AI23" s="188"/>
      <c r="AJ23" s="188"/>
      <c r="AK23" s="188"/>
      <c r="AL23" s="188"/>
    </row>
    <row r="24" spans="1:45" ht="18" customHeight="1" thickBot="1">
      <c r="A24" s="146" t="s">
        <v>13</v>
      </c>
      <c r="B24" s="144" t="s">
        <v>441</v>
      </c>
      <c r="C24" s="198" t="str">
        <f t="shared" si="0"/>
        <v>071811</v>
      </c>
      <c r="D24" s="27">
        <f t="shared" si="1"/>
        <v>15</v>
      </c>
      <c r="E24" s="27">
        <f t="shared" si="2"/>
        <v>0</v>
      </c>
      <c r="F24" s="27">
        <f t="shared" si="3"/>
        <v>20</v>
      </c>
      <c r="G24" s="27">
        <f t="shared" si="4"/>
        <v>5</v>
      </c>
      <c r="H24" s="27">
        <f t="shared" si="5"/>
        <v>0</v>
      </c>
      <c r="I24" s="27">
        <f t="shared" si="6"/>
        <v>0</v>
      </c>
      <c r="J24" s="196">
        <v>200</v>
      </c>
      <c r="K24" s="193">
        <f t="shared" si="7"/>
        <v>10</v>
      </c>
      <c r="L24" s="161">
        <v>2.67</v>
      </c>
      <c r="M24" s="201">
        <f t="shared" ref="M24" si="30">IF($B24="","",IFERROR(D24*0.01*$L24*0.01*1000,"???"))</f>
        <v>4.0049999999999999</v>
      </c>
      <c r="N24" s="201">
        <f t="shared" ref="N24" si="31">IF($B24="","",IFERROR(E24*0.01*$L24*0.01*1000,"???"))</f>
        <v>0</v>
      </c>
      <c r="O24" s="201">
        <f t="shared" ref="O24" si="32">IF($B24="","",IFERROR(F24*0.01*$L24*0.01*1000,"???"))</f>
        <v>5.34</v>
      </c>
      <c r="P24" s="201">
        <f t="shared" ref="P24" si="33">IF($B24="","",IFERROR(G24*0.01*$L24*0.01*1000,"???"))</f>
        <v>1.335</v>
      </c>
      <c r="Q24" s="201">
        <f t="shared" ref="Q24" si="34">IF($B24="","",IFERROR(H24*0.01*$L24*0.01*1000,"???"))</f>
        <v>0</v>
      </c>
      <c r="R24" s="201">
        <f t="shared" ref="R24" si="35">IF($B24="","",IFERROR(I24*0.01*$L24*0.01*1000,"???"))</f>
        <v>0</v>
      </c>
      <c r="S24" s="28">
        <f t="shared" si="14"/>
        <v>36</v>
      </c>
      <c r="T24" s="29">
        <f t="shared" si="17"/>
        <v>7200</v>
      </c>
      <c r="U24" s="29">
        <f t="shared" si="15"/>
        <v>8712</v>
      </c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188"/>
      <c r="AH24" s="188"/>
      <c r="AI24" s="188"/>
      <c r="AJ24" s="188"/>
      <c r="AK24" s="188"/>
      <c r="AL24" s="188"/>
    </row>
    <row r="25" spans="1:45" ht="18" customHeight="1" thickBot="1">
      <c r="A25" s="30" t="s">
        <v>5</v>
      </c>
      <c r="B25" s="31"/>
      <c r="C25" s="31"/>
      <c r="D25" s="32"/>
      <c r="E25" s="32"/>
      <c r="F25" s="32"/>
      <c r="G25" s="32"/>
      <c r="H25" s="32"/>
      <c r="I25" s="32"/>
      <c r="J25" s="200">
        <f>SUM(J$17:J$24)</f>
        <v>1600</v>
      </c>
      <c r="K25" s="200">
        <f>SUM(K$17:K$24)</f>
        <v>80</v>
      </c>
      <c r="L25" s="195"/>
      <c r="M25" s="37">
        <f t="shared" ref="M25:R25" si="36">SUM(M$17:M$24)</f>
        <v>37.914000000000001</v>
      </c>
      <c r="N25" s="37">
        <f t="shared" si="36"/>
        <v>0</v>
      </c>
      <c r="O25" s="37">
        <f t="shared" si="36"/>
        <v>26.7</v>
      </c>
      <c r="P25" s="37">
        <f t="shared" si="36"/>
        <v>6.6749999999999998</v>
      </c>
      <c r="Q25" s="37">
        <f t="shared" si="36"/>
        <v>0</v>
      </c>
      <c r="R25" s="37">
        <f t="shared" si="36"/>
        <v>12.282</v>
      </c>
      <c r="S25" s="34"/>
      <c r="T25" s="37">
        <f>SUM(T$17:T$24)</f>
        <v>56600</v>
      </c>
      <c r="U25" s="37">
        <f>SUM(U$17:U$24)</f>
        <v>68486</v>
      </c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188"/>
      <c r="AH25" s="188"/>
      <c r="AI25" s="188"/>
      <c r="AJ25" s="188"/>
      <c r="AK25" s="188"/>
      <c r="AL25" s="188"/>
    </row>
    <row r="26" spans="1:45" ht="13.8" thickBo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38"/>
      <c r="U26" s="38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188"/>
      <c r="AH26" s="188"/>
      <c r="AI26" s="188"/>
      <c r="AJ26" s="188"/>
      <c r="AK26" s="188"/>
      <c r="AL26" s="188"/>
    </row>
    <row r="27" spans="1:45" ht="18.600000000000001" customHeight="1" thickTop="1" thickBo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213"/>
      <c r="M27" s="214"/>
      <c r="N27" s="154"/>
      <c r="O27" s="44"/>
      <c r="P27" s="45"/>
      <c r="Q27" s="213"/>
      <c r="R27" s="215"/>
      <c r="S27" s="216"/>
      <c r="T27" s="46"/>
      <c r="U27" s="4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</row>
    <row r="28" spans="1:45" ht="13.8" thickTop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38"/>
      <c r="U28" s="38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188"/>
      <c r="AH28" s="188"/>
      <c r="AI28" s="188"/>
      <c r="AJ28" s="188"/>
      <c r="AK28" s="188"/>
      <c r="AL28" s="188"/>
    </row>
    <row r="29" spans="1:4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188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</row>
    <row r="30" spans="1:4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188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</row>
    <row r="31" spans="1:4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188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</row>
    <row r="32" spans="1:4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188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</row>
    <row r="33" spans="1:3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188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</row>
    <row r="34" spans="1:3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188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</row>
    <row r="35" spans="1:3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7"/>
      <c r="AB35" s="187"/>
      <c r="AC35" s="187"/>
      <c r="AD35" s="187"/>
      <c r="AE35" s="187"/>
      <c r="AF35" s="187"/>
    </row>
    <row r="36" spans="1:3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7"/>
      <c r="AB36" s="187"/>
      <c r="AC36" s="187"/>
      <c r="AD36" s="187"/>
      <c r="AE36" s="187"/>
      <c r="AF36" s="187"/>
    </row>
    <row r="37" spans="1:3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7"/>
      <c r="AB37" s="187"/>
      <c r="AC37" s="187"/>
      <c r="AD37" s="187"/>
      <c r="AE37" s="187"/>
      <c r="AF37" s="187"/>
    </row>
    <row r="38" spans="1:3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7"/>
      <c r="AB38" s="187"/>
      <c r="AC38" s="187"/>
      <c r="AD38" s="187"/>
      <c r="AE38" s="187"/>
      <c r="AF38" s="187"/>
    </row>
    <row r="39" spans="1:3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187"/>
      <c r="AB39" s="187"/>
      <c r="AC39" s="187"/>
      <c r="AD39" s="187"/>
      <c r="AE39" s="187"/>
      <c r="AF39" s="187"/>
    </row>
    <row r="40" spans="1:3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187"/>
      <c r="AB40" s="187"/>
      <c r="AC40" s="187"/>
      <c r="AD40" s="187"/>
      <c r="AE40" s="187"/>
      <c r="AF40" s="187"/>
    </row>
    <row r="41" spans="1:3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187"/>
      <c r="AB41" s="187"/>
      <c r="AC41" s="187"/>
      <c r="AD41" s="187"/>
      <c r="AE41" s="187"/>
      <c r="AF41" s="187"/>
    </row>
    <row r="42" spans="1:3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187"/>
      <c r="AB42" s="187"/>
      <c r="AC42" s="187"/>
      <c r="AD42" s="187"/>
      <c r="AE42" s="187"/>
      <c r="AF42" s="187"/>
    </row>
    <row r="43" spans="1:3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187"/>
      <c r="AB43" s="187"/>
      <c r="AC43" s="187"/>
      <c r="AD43" s="187"/>
      <c r="AE43" s="187"/>
      <c r="AF43" s="187"/>
    </row>
    <row r="44" spans="1:3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187"/>
      <c r="AB44" s="187"/>
      <c r="AC44" s="187"/>
      <c r="AD44" s="187"/>
      <c r="AE44" s="187"/>
      <c r="AF44" s="187"/>
    </row>
    <row r="45" spans="1:3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187"/>
      <c r="AB45" s="187"/>
      <c r="AC45" s="187"/>
      <c r="AD45" s="187"/>
      <c r="AE45" s="187"/>
      <c r="AF45" s="187"/>
    </row>
    <row r="46" spans="1:3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187"/>
      <c r="AB46" s="187"/>
      <c r="AC46" s="187"/>
      <c r="AD46" s="187"/>
      <c r="AE46" s="187"/>
      <c r="AF46" s="187"/>
    </row>
    <row r="47" spans="1:3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187"/>
      <c r="AB47" s="187"/>
      <c r="AC47" s="187"/>
      <c r="AD47" s="187"/>
      <c r="AE47" s="187"/>
      <c r="AF47" s="187"/>
    </row>
    <row r="48" spans="1:3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187"/>
      <c r="AB48" s="187"/>
      <c r="AC48" s="187"/>
      <c r="AD48" s="187"/>
      <c r="AE48" s="187"/>
      <c r="AF48" s="187"/>
    </row>
    <row r="49" spans="1:3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187"/>
      <c r="AB49" s="187"/>
      <c r="AC49" s="187"/>
      <c r="AD49" s="187"/>
      <c r="AE49" s="187"/>
      <c r="AF49" s="187"/>
    </row>
    <row r="50" spans="1:3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187"/>
      <c r="AB50" s="187"/>
      <c r="AC50" s="187"/>
      <c r="AD50" s="187"/>
      <c r="AE50" s="187"/>
      <c r="AF50" s="187"/>
    </row>
    <row r="51" spans="1:3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187"/>
      <c r="AB51" s="187"/>
      <c r="AC51" s="187"/>
      <c r="AD51" s="187"/>
      <c r="AE51" s="187"/>
      <c r="AF51" s="187"/>
    </row>
    <row r="52" spans="1:32" s="187" customFormat="1">
      <c r="A52" s="188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</row>
    <row r="53" spans="1:32" s="187" customFormat="1">
      <c r="A53" s="188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</row>
    <row r="54" spans="1:32" s="187" customFormat="1">
      <c r="A54" s="188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</row>
    <row r="55" spans="1:32" s="187" customFormat="1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</row>
    <row r="56" spans="1:32" s="187" customFormat="1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</row>
    <row r="57" spans="1:32" s="187" customFormat="1">
      <c r="A57" s="188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</row>
    <row r="58" spans="1:32" s="187" customFormat="1"/>
    <row r="59" spans="1:32" s="187" customFormat="1"/>
    <row r="60" spans="1:32" s="187" customFormat="1"/>
    <row r="61" spans="1:32" s="187" customFormat="1"/>
    <row r="62" spans="1:32" s="187" customFormat="1"/>
    <row r="63" spans="1:32" s="187" customFormat="1"/>
    <row r="64" spans="1:32" s="187" customFormat="1"/>
    <row r="65" s="187" customFormat="1"/>
    <row r="66" s="187" customFormat="1"/>
    <row r="67" s="187" customFormat="1"/>
    <row r="68" s="187" customFormat="1"/>
    <row r="69" s="187" customFormat="1"/>
    <row r="70" s="187" customFormat="1"/>
    <row r="71" s="187" customFormat="1"/>
    <row r="72" s="187" customFormat="1"/>
    <row r="73" s="187" customFormat="1"/>
    <row r="74" s="187" customFormat="1"/>
    <row r="75" s="187" customFormat="1"/>
    <row r="76" s="187" customFormat="1"/>
    <row r="77" s="187" customFormat="1"/>
    <row r="78" s="187" customFormat="1"/>
    <row r="79" s="187" customFormat="1"/>
    <row r="80" s="187" customFormat="1"/>
    <row r="81" s="187" customFormat="1"/>
    <row r="82" s="187" customFormat="1"/>
    <row r="83" s="187" customFormat="1"/>
    <row r="84" s="187" customFormat="1"/>
    <row r="85" s="187" customFormat="1"/>
    <row r="86" s="187" customFormat="1"/>
    <row r="87" s="187" customFormat="1"/>
    <row r="88" s="187" customFormat="1"/>
    <row r="89" s="187" customFormat="1"/>
    <row r="90" s="187" customFormat="1"/>
    <row r="91" s="187" customFormat="1"/>
    <row r="92" s="187" customFormat="1"/>
    <row r="93" s="187" customFormat="1"/>
    <row r="94" s="187" customFormat="1"/>
    <row r="95" s="187" customFormat="1"/>
    <row r="96" s="187" customFormat="1"/>
    <row r="97" s="187" customFormat="1"/>
    <row r="98" s="187" customFormat="1"/>
    <row r="99" s="187" customFormat="1"/>
    <row r="100" s="187" customFormat="1"/>
    <row r="101" s="187" customFormat="1"/>
    <row r="102" s="187" customFormat="1"/>
    <row r="103" s="187" customFormat="1"/>
    <row r="104" s="187" customFormat="1"/>
    <row r="105" s="187" customFormat="1"/>
    <row r="106" s="187" customFormat="1"/>
    <row r="107" s="187" customFormat="1"/>
    <row r="108" s="187" customFormat="1"/>
    <row r="109" s="187" customFormat="1"/>
    <row r="110" s="187" customFormat="1"/>
    <row r="111" s="187" customFormat="1"/>
  </sheetData>
  <sheetProtection formatCells="0" formatColumns="0" formatRows="0" autoFilter="0"/>
  <mergeCells count="9">
    <mergeCell ref="B9:K10"/>
    <mergeCell ref="A2:K4"/>
    <mergeCell ref="L27:M27"/>
    <mergeCell ref="Q27:S27"/>
    <mergeCell ref="M15:R15"/>
    <mergeCell ref="D15:I15"/>
    <mergeCell ref="I13:J13"/>
    <mergeCell ref="F13:H13"/>
    <mergeCell ref="S15:S16"/>
  </mergeCells>
  <phoneticPr fontId="4" type="noConversion"/>
  <dataValidations count="1">
    <dataValidation type="list" allowBlank="1" showInputMessage="1" showErrorMessage="1" sqref="B17:B24">
      <formula1>cis_hnojiva</formula1>
    </dataValidation>
  </dataValidations>
  <hyperlinks>
    <hyperlink ref="N11" r:id="rId1"/>
    <hyperlink ref="N12" r:id="rId2"/>
  </hyperlinks>
  <pageMargins left="0" right="0" top="0.39370078740157483" bottom="0" header="0.51181102362204722" footer="0.51181102362204722"/>
  <pageSetup paperSize="9" scale="87" orientation="landscape" r:id="rId3"/>
  <headerFooter alignWithMargins="0"/>
  <rowBreaks count="1" manualBreakCount="1">
    <brk id="9" max="1638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CY113"/>
  <sheetViews>
    <sheetView topLeftCell="A10" zoomScale="75" zoomScaleNormal="75" workbookViewId="0">
      <selection activeCell="B23" sqref="B23"/>
    </sheetView>
  </sheetViews>
  <sheetFormatPr defaultColWidth="11.44140625" defaultRowHeight="13.2"/>
  <cols>
    <col min="1" max="1" width="8.88671875" customWidth="1"/>
    <col min="2" max="2" width="36.109375" customWidth="1"/>
    <col min="3" max="3" width="11.109375" customWidth="1"/>
    <col min="4" max="4" width="3.6640625" customWidth="1"/>
    <col min="5" max="5" width="4.33203125" customWidth="1"/>
    <col min="6" max="6" width="4.33203125" bestFit="1" customWidth="1"/>
    <col min="7" max="7" width="4.6640625" customWidth="1"/>
    <col min="8" max="8" width="3.6640625" customWidth="1"/>
    <col min="9" max="9" width="3.33203125" customWidth="1"/>
    <col min="10" max="10" width="5.6640625" bestFit="1" customWidth="1"/>
    <col min="11" max="11" width="6.44140625" customWidth="1"/>
    <col min="12" max="12" width="11.109375" customWidth="1"/>
    <col min="13" max="13" width="5.6640625" customWidth="1"/>
    <col min="14" max="17" width="6" customWidth="1"/>
    <col min="18" max="18" width="5" customWidth="1"/>
    <col min="19" max="19" width="6.33203125" customWidth="1"/>
    <col min="20" max="21" width="10.5546875" customWidth="1"/>
    <col min="33" max="103" width="11.44140625" style="187"/>
  </cols>
  <sheetData>
    <row r="1" spans="1:103">
      <c r="A1" s="16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188"/>
      <c r="AH1" s="188"/>
      <c r="AI1" s="188"/>
      <c r="AJ1" s="188"/>
      <c r="AK1" s="188"/>
      <c r="AL1" s="188"/>
    </row>
    <row r="2" spans="1:103" ht="13.2" customHeight="1">
      <c r="A2" s="212" t="s">
        <v>409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188"/>
      <c r="AH2" s="188"/>
      <c r="AI2" s="188"/>
      <c r="AJ2" s="188"/>
      <c r="AK2" s="188"/>
      <c r="AL2" s="188"/>
    </row>
    <row r="3" spans="1:103" ht="1.95" customHeight="1">
      <c r="A3" s="212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188"/>
      <c r="AH3" s="188"/>
      <c r="AI3" s="188"/>
      <c r="AJ3" s="188"/>
      <c r="AK3" s="188"/>
      <c r="AL3" s="188"/>
    </row>
    <row r="4" spans="1:103" s="164" customFormat="1" ht="30" customHeight="1">
      <c r="A4" s="212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89"/>
      <c r="AH4" s="189"/>
      <c r="AI4" s="189"/>
      <c r="AJ4" s="189"/>
      <c r="AK4" s="189"/>
      <c r="AL4" s="189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</row>
    <row r="5" spans="1:103" ht="4.2" customHeight="1">
      <c r="A5" s="166"/>
      <c r="B5" s="173"/>
      <c r="C5" s="173"/>
      <c r="D5" s="174"/>
      <c r="E5" s="174"/>
      <c r="F5" s="174"/>
      <c r="G5" s="174"/>
      <c r="H5" s="174"/>
      <c r="I5" s="174"/>
      <c r="J5" s="175"/>
      <c r="K5" s="175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188"/>
      <c r="AH5" s="188"/>
      <c r="AI5" s="188"/>
      <c r="AJ5" s="188"/>
      <c r="AK5" s="188"/>
      <c r="AL5" s="188"/>
    </row>
    <row r="6" spans="1:103" ht="30">
      <c r="A6" s="185"/>
      <c r="B6" s="172" t="s">
        <v>31</v>
      </c>
      <c r="C6" s="171"/>
      <c r="D6" s="169"/>
      <c r="E6" s="169"/>
      <c r="F6" s="169"/>
      <c r="G6" s="169"/>
      <c r="H6" s="169"/>
      <c r="I6" s="169"/>
      <c r="J6" s="167"/>
      <c r="K6" s="168"/>
      <c r="L6" s="1"/>
      <c r="M6" s="1"/>
      <c r="N6" s="7"/>
      <c r="O6" s="1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188"/>
      <c r="AH6" s="188"/>
      <c r="AI6" s="188"/>
      <c r="AJ6" s="188"/>
      <c r="AK6" s="188"/>
      <c r="AL6" s="188"/>
    </row>
    <row r="7" spans="1:103" ht="18" customHeight="1">
      <c r="A7" s="167"/>
      <c r="B7" s="166"/>
      <c r="C7" s="166"/>
      <c r="D7" s="166"/>
      <c r="E7" s="166"/>
      <c r="F7" s="170"/>
      <c r="G7" s="170"/>
      <c r="H7" s="170"/>
      <c r="I7" s="170"/>
      <c r="J7" s="166"/>
      <c r="K7" s="165"/>
      <c r="L7" s="2"/>
      <c r="M7" s="1"/>
      <c r="N7" s="7"/>
      <c r="O7" s="1"/>
      <c r="P7" s="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188"/>
      <c r="AH7" s="188"/>
      <c r="AI7" s="188"/>
      <c r="AJ7" s="188"/>
      <c r="AK7" s="188"/>
      <c r="AL7" s="188"/>
    </row>
    <row r="8" spans="1:103" ht="17.399999999999999">
      <c r="A8" s="168"/>
      <c r="B8" s="176" t="s">
        <v>26</v>
      </c>
      <c r="C8" s="166"/>
      <c r="D8" s="166"/>
      <c r="E8" s="170"/>
      <c r="F8" s="170"/>
      <c r="G8" s="170"/>
      <c r="H8" s="170"/>
      <c r="I8" s="170"/>
      <c r="J8" s="170"/>
      <c r="K8" s="165"/>
      <c r="L8" s="3"/>
      <c r="M8" s="1"/>
      <c r="N8" s="7"/>
      <c r="O8" s="1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188"/>
      <c r="AH8" s="188"/>
      <c r="AI8" s="188"/>
      <c r="AJ8" s="188"/>
      <c r="AK8" s="188"/>
      <c r="AL8" s="188"/>
    </row>
    <row r="9" spans="1:103" ht="36" customHeight="1">
      <c r="A9" s="182"/>
      <c r="B9" s="210" t="s">
        <v>398</v>
      </c>
      <c r="C9" s="210"/>
      <c r="D9" s="210"/>
      <c r="E9" s="210"/>
      <c r="F9" s="210"/>
      <c r="G9" s="210"/>
      <c r="H9" s="210"/>
      <c r="I9" s="210"/>
      <c r="J9" s="210"/>
      <c r="K9" s="210"/>
      <c r="L9" s="3"/>
      <c r="M9" s="1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188"/>
      <c r="AH9" s="188"/>
      <c r="AI9" s="188"/>
      <c r="AJ9" s="188"/>
      <c r="AK9" s="188"/>
      <c r="AL9" s="188"/>
    </row>
    <row r="10" spans="1:103" ht="19.95" customHeight="1">
      <c r="A10" s="183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1"/>
      <c r="M10" s="1"/>
      <c r="N10" s="180" t="s">
        <v>35</v>
      </c>
      <c r="O10" s="40"/>
      <c r="P10" s="40"/>
      <c r="Q10" s="40"/>
      <c r="R10" s="40"/>
      <c r="S10" s="40"/>
      <c r="T10" s="40"/>
      <c r="U10" s="18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188"/>
      <c r="AH10" s="188"/>
      <c r="AI10" s="188"/>
      <c r="AJ10" s="188"/>
      <c r="AK10" s="188"/>
      <c r="AL10" s="188"/>
    </row>
    <row r="11" spans="1:103" ht="15" customHeight="1">
      <c r="A11" s="162"/>
      <c r="B11" s="4"/>
      <c r="C11" s="4"/>
      <c r="D11" s="2"/>
      <c r="E11" s="2"/>
      <c r="F11" s="2"/>
      <c r="G11" s="5"/>
      <c r="H11" s="5"/>
      <c r="I11" s="5"/>
      <c r="J11" s="6"/>
      <c r="K11" s="2"/>
      <c r="L11" s="1"/>
      <c r="M11" s="2"/>
      <c r="N11" s="180" t="s">
        <v>395</v>
      </c>
      <c r="O11" s="40"/>
      <c r="P11" s="40"/>
      <c r="Q11" s="40"/>
      <c r="R11" s="40"/>
      <c r="S11" s="40"/>
      <c r="T11" s="40"/>
      <c r="U11" s="18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188"/>
      <c r="AH11" s="188"/>
      <c r="AI11" s="188"/>
      <c r="AJ11" s="188"/>
      <c r="AK11" s="188"/>
      <c r="AL11" s="188"/>
    </row>
    <row r="12" spans="1:103" ht="15">
      <c r="A12" s="162"/>
      <c r="B12" s="4"/>
      <c r="C12" s="4"/>
      <c r="D12" s="2"/>
      <c r="E12" s="2"/>
      <c r="F12" s="2"/>
      <c r="G12" s="5"/>
      <c r="H12" s="5"/>
      <c r="I12" s="5"/>
      <c r="J12" s="2"/>
      <c r="L12" s="1"/>
      <c r="M12" s="7"/>
      <c r="N12" s="180" t="s">
        <v>396</v>
      </c>
      <c r="O12" s="40"/>
      <c r="P12" s="40"/>
      <c r="Q12" s="40"/>
      <c r="R12" s="40"/>
      <c r="S12" s="40"/>
      <c r="T12" s="40"/>
      <c r="U12" s="18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188"/>
      <c r="AH12" s="188"/>
      <c r="AI12" s="188"/>
      <c r="AJ12" s="188"/>
      <c r="AK12" s="188"/>
      <c r="AL12" s="188"/>
    </row>
    <row r="13" spans="1:103" ht="28.2" customHeight="1">
      <c r="A13" s="186"/>
      <c r="B13" s="177"/>
      <c r="C13" s="177"/>
      <c r="D13" s="178"/>
      <c r="E13" s="178"/>
      <c r="F13" s="222" t="s">
        <v>29</v>
      </c>
      <c r="G13" s="223"/>
      <c r="H13" s="223"/>
      <c r="I13" s="221">
        <v>7000</v>
      </c>
      <c r="J13" s="221"/>
      <c r="K13" s="179" t="s">
        <v>394</v>
      </c>
      <c r="L13" s="1"/>
      <c r="M13" s="7"/>
      <c r="N13" s="181" t="s">
        <v>397</v>
      </c>
      <c r="O13" s="40"/>
      <c r="P13" s="40"/>
      <c r="Q13" s="39"/>
      <c r="R13" s="40"/>
      <c r="S13" s="40"/>
      <c r="T13" s="40"/>
      <c r="U13" s="187"/>
      <c r="V13" s="191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188"/>
      <c r="AH13" s="188"/>
      <c r="AI13" s="188"/>
      <c r="AJ13" s="188"/>
      <c r="AK13" s="188"/>
      <c r="AL13" s="188"/>
    </row>
    <row r="14" spans="1:103" ht="13.8" thickBot="1">
      <c r="A14" s="184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8"/>
      <c r="N14" s="8"/>
      <c r="O14" s="41"/>
      <c r="P14" s="41"/>
      <c r="Q14" s="41"/>
      <c r="R14" s="41"/>
      <c r="S14" s="41"/>
      <c r="T14" s="42"/>
      <c r="U14" s="43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188"/>
      <c r="AH14" s="188"/>
      <c r="AI14" s="188"/>
      <c r="AJ14" s="188"/>
      <c r="AK14" s="188"/>
      <c r="AL14" s="188"/>
    </row>
    <row r="15" spans="1:103" ht="20.25" customHeight="1" thickBot="1">
      <c r="A15" s="35" t="s">
        <v>3</v>
      </c>
      <c r="B15" s="11" t="s">
        <v>28</v>
      </c>
      <c r="C15" s="63"/>
      <c r="D15" s="220" t="s">
        <v>27</v>
      </c>
      <c r="E15" s="218"/>
      <c r="F15" s="218"/>
      <c r="G15" s="218"/>
      <c r="H15" s="218"/>
      <c r="I15" s="219"/>
      <c r="J15" s="12" t="s">
        <v>405</v>
      </c>
      <c r="K15" s="13" t="s">
        <v>48</v>
      </c>
      <c r="L15" s="14" t="s">
        <v>4</v>
      </c>
      <c r="M15" s="217" t="s">
        <v>32</v>
      </c>
      <c r="N15" s="218"/>
      <c r="O15" s="218"/>
      <c r="P15" s="218"/>
      <c r="Q15" s="218"/>
      <c r="R15" s="219"/>
      <c r="S15" s="224" t="s">
        <v>407</v>
      </c>
      <c r="T15" s="15" t="s">
        <v>7</v>
      </c>
      <c r="U15" s="15" t="s">
        <v>7</v>
      </c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188"/>
      <c r="AH15" s="188"/>
      <c r="AI15" s="188"/>
      <c r="AJ15" s="188"/>
      <c r="AK15" s="188"/>
      <c r="AL15" s="188"/>
    </row>
    <row r="16" spans="1:103" ht="21.75" customHeight="1" thickBot="1">
      <c r="A16" s="36"/>
      <c r="B16" s="16" t="s">
        <v>15</v>
      </c>
      <c r="C16" s="64" t="s">
        <v>376</v>
      </c>
      <c r="D16" s="17" t="s">
        <v>0</v>
      </c>
      <c r="E16" s="18" t="s">
        <v>33</v>
      </c>
      <c r="F16" s="19" t="s">
        <v>34</v>
      </c>
      <c r="G16" s="18" t="s">
        <v>1</v>
      </c>
      <c r="H16" s="20" t="s">
        <v>16</v>
      </c>
      <c r="I16" s="20" t="s">
        <v>17</v>
      </c>
      <c r="J16" s="21"/>
      <c r="K16" s="22"/>
      <c r="L16" s="23" t="s">
        <v>406</v>
      </c>
      <c r="M16" s="24" t="s">
        <v>2</v>
      </c>
      <c r="N16" s="20" t="s">
        <v>33</v>
      </c>
      <c r="O16" s="19" t="s">
        <v>34</v>
      </c>
      <c r="P16" s="25" t="s">
        <v>1</v>
      </c>
      <c r="Q16" s="24" t="s">
        <v>16</v>
      </c>
      <c r="R16" s="24" t="s">
        <v>17</v>
      </c>
      <c r="S16" s="225"/>
      <c r="T16" s="26" t="s">
        <v>14</v>
      </c>
      <c r="U16" s="160">
        <v>0.21</v>
      </c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188"/>
      <c r="AH16" s="188"/>
      <c r="AI16" s="188"/>
      <c r="AJ16" s="188"/>
      <c r="AK16" s="188"/>
      <c r="AL16" s="188"/>
    </row>
    <row r="17" spans="1:45" ht="13.8" thickBot="1">
      <c r="A17" s="145"/>
      <c r="B17" s="144"/>
      <c r="C17" s="147"/>
      <c r="D17" s="148"/>
      <c r="E17" s="148"/>
      <c r="F17" s="148"/>
      <c r="G17" s="148"/>
      <c r="H17" s="148"/>
      <c r="I17" s="148"/>
      <c r="J17" s="149"/>
      <c r="K17" s="148"/>
      <c r="L17" s="150"/>
      <c r="M17" s="148"/>
      <c r="N17" s="148"/>
      <c r="O17" s="148"/>
      <c r="P17" s="148"/>
      <c r="Q17" s="148"/>
      <c r="R17" s="148"/>
      <c r="S17" s="151"/>
      <c r="T17" s="152"/>
      <c r="U17" s="153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188"/>
      <c r="AH17" s="188"/>
      <c r="AI17" s="188"/>
      <c r="AJ17" s="188"/>
      <c r="AK17" s="188"/>
      <c r="AL17" s="188"/>
    </row>
    <row r="18" spans="1:45" ht="18" customHeight="1" thickBot="1">
      <c r="A18" s="146" t="s">
        <v>37</v>
      </c>
      <c r="B18" s="144" t="s">
        <v>404</v>
      </c>
      <c r="C18" s="198" t="str">
        <f t="shared" ref="C18:C26" si="0">IFERROR(VLOOKUP($B18,PodkladDleCeniku,2,FALSE),"")</f>
        <v>071502</v>
      </c>
      <c r="D18" s="27">
        <f t="shared" ref="D18:D26" si="1">IFERROR(VLOOKUP($B18,PodkladDleCeniku,9,FALSE),"")</f>
        <v>18</v>
      </c>
      <c r="E18" s="27">
        <f t="shared" ref="E18:E26" si="2">IFERROR(VLOOKUP($B18,PodkladDleCeniku,10,FALSE),"")</f>
        <v>6</v>
      </c>
      <c r="F18" s="27">
        <f t="shared" ref="F18:F26" si="3">IFERROR(VLOOKUP($B18,PodkladDleCeniku,11,FALSE),"")</f>
        <v>18</v>
      </c>
      <c r="G18" s="27">
        <f t="shared" ref="G18:G26" si="4">IFERROR(VLOOKUP($B18,PodkladDleCeniku,12,FALSE),"")</f>
        <v>0</v>
      </c>
      <c r="H18" s="27">
        <f t="shared" ref="H18:H26" si="5">IFERROR(VLOOKUP($B18,PodkladDleCeniku,13,FALSE),"")</f>
        <v>0</v>
      </c>
      <c r="I18" s="27">
        <f t="shared" ref="I18:I26" si="6">IFERROR(VLOOKUP($B18,PodkladDleCeniku,14,FALSE),"")</f>
        <v>0</v>
      </c>
      <c r="J18" s="196">
        <f t="shared" ref="J18:J26" si="7">IF($B18="","",$I$13*$L18*0.01)</f>
        <v>200.20000000000002</v>
      </c>
      <c r="K18" s="193">
        <f t="shared" ref="K18:K26" si="8">IF($B18="","",IFERROR($J18/VLOOKUP($B18,PodkladDleCeniku,15,FALSE),"???"))</f>
        <v>10.010000000000002</v>
      </c>
      <c r="L18" s="161">
        <v>2.86</v>
      </c>
      <c r="M18" s="27">
        <f t="shared" ref="M18:R26" si="9">IF($B18="","",IFERROR(D18*$L18*0.01,"???"))</f>
        <v>0.51479999999999992</v>
      </c>
      <c r="N18" s="27">
        <f t="shared" si="9"/>
        <v>0.1716</v>
      </c>
      <c r="O18" s="27">
        <f t="shared" si="9"/>
        <v>0.51479999999999992</v>
      </c>
      <c r="P18" s="27">
        <f t="shared" si="9"/>
        <v>0</v>
      </c>
      <c r="Q18" s="27">
        <f t="shared" si="9"/>
        <v>0</v>
      </c>
      <c r="R18" s="27">
        <f t="shared" si="9"/>
        <v>0</v>
      </c>
      <c r="S18" s="28">
        <f t="shared" ref="S18:S26" si="10">IFERROR(VLOOKUP($B18,PodkladDleCeniku,6,FALSE),"")</f>
        <v>108.3</v>
      </c>
      <c r="T18" s="29">
        <f>IF($B18="","",IFERROR($J18*$S18,"???"))</f>
        <v>21681.66</v>
      </c>
      <c r="U18" s="29">
        <f t="shared" ref="U18:U26" si="11">IF($B18="","",IFERROR($T18*(1+$U$16),"???"))</f>
        <v>26234.8086</v>
      </c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188"/>
      <c r="AH18" s="188"/>
      <c r="AI18" s="188"/>
      <c r="AJ18" s="188"/>
      <c r="AK18" s="188"/>
      <c r="AL18" s="188"/>
    </row>
    <row r="19" spans="1:45" ht="18" customHeight="1" thickBot="1">
      <c r="A19" s="146" t="s">
        <v>8</v>
      </c>
      <c r="B19" s="144" t="s">
        <v>419</v>
      </c>
      <c r="C19" s="198" t="str">
        <f t="shared" si="0"/>
        <v>071224</v>
      </c>
      <c r="D19" s="27">
        <f t="shared" si="1"/>
        <v>27</v>
      </c>
      <c r="E19" s="27">
        <f t="shared" si="2"/>
        <v>6</v>
      </c>
      <c r="F19" s="27">
        <f t="shared" si="3"/>
        <v>6</v>
      </c>
      <c r="G19" s="27">
        <f t="shared" si="4"/>
        <v>0</v>
      </c>
      <c r="H19" s="27">
        <f t="shared" si="5"/>
        <v>0</v>
      </c>
      <c r="I19" s="27">
        <f t="shared" si="6"/>
        <v>2</v>
      </c>
      <c r="J19" s="196">
        <f t="shared" si="7"/>
        <v>200.20000000000002</v>
      </c>
      <c r="K19" s="193">
        <f t="shared" si="8"/>
        <v>10.010000000000002</v>
      </c>
      <c r="L19" s="161">
        <v>2.86</v>
      </c>
      <c r="M19" s="27">
        <f t="shared" si="9"/>
        <v>0.7722</v>
      </c>
      <c r="N19" s="27">
        <f t="shared" si="9"/>
        <v>0.1716</v>
      </c>
      <c r="O19" s="27">
        <f t="shared" si="9"/>
        <v>0.1716</v>
      </c>
      <c r="P19" s="27">
        <f t="shared" si="9"/>
        <v>0</v>
      </c>
      <c r="Q19" s="27">
        <f t="shared" si="9"/>
        <v>0</v>
      </c>
      <c r="R19" s="27">
        <f t="shared" si="9"/>
        <v>5.7200000000000001E-2</v>
      </c>
      <c r="S19" s="28">
        <f t="shared" si="10"/>
        <v>46.5</v>
      </c>
      <c r="T19" s="29">
        <f>IF($B19="","",IFERROR($J19*$S19,"???"))</f>
        <v>9309.3000000000011</v>
      </c>
      <c r="U19" s="29">
        <f t="shared" si="11"/>
        <v>11264.253000000001</v>
      </c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188"/>
      <c r="AH19" s="188"/>
      <c r="AI19" s="188"/>
      <c r="AJ19" s="188"/>
      <c r="AK19" s="188"/>
      <c r="AL19" s="188"/>
    </row>
    <row r="20" spans="1:45" ht="17.25" customHeight="1" thickBot="1">
      <c r="A20" s="146" t="s">
        <v>9</v>
      </c>
      <c r="B20" s="144" t="s">
        <v>420</v>
      </c>
      <c r="C20" s="198" t="str">
        <f t="shared" si="0"/>
        <v>071235</v>
      </c>
      <c r="D20" s="27">
        <f t="shared" si="1"/>
        <v>22</v>
      </c>
      <c r="E20" s="27">
        <f t="shared" si="2"/>
        <v>5</v>
      </c>
      <c r="F20" s="27">
        <f t="shared" si="3"/>
        <v>10</v>
      </c>
      <c r="G20" s="27">
        <f t="shared" si="4"/>
        <v>3</v>
      </c>
      <c r="H20" s="27">
        <f t="shared" si="5"/>
        <v>0</v>
      </c>
      <c r="I20" s="27">
        <f t="shared" si="6"/>
        <v>0</v>
      </c>
      <c r="J20" s="196">
        <f t="shared" si="7"/>
        <v>200.20000000000002</v>
      </c>
      <c r="K20" s="193">
        <f t="shared" si="8"/>
        <v>10.010000000000002</v>
      </c>
      <c r="L20" s="161">
        <v>2.86</v>
      </c>
      <c r="M20" s="27">
        <f t="shared" si="9"/>
        <v>0.62919999999999998</v>
      </c>
      <c r="N20" s="27">
        <f t="shared" si="9"/>
        <v>0.14299999999999999</v>
      </c>
      <c r="O20" s="27">
        <f t="shared" si="9"/>
        <v>0.28599999999999998</v>
      </c>
      <c r="P20" s="27">
        <f t="shared" si="9"/>
        <v>8.5800000000000001E-2</v>
      </c>
      <c r="Q20" s="27">
        <f t="shared" si="9"/>
        <v>0</v>
      </c>
      <c r="R20" s="27">
        <f t="shared" si="9"/>
        <v>0</v>
      </c>
      <c r="S20" s="28">
        <f t="shared" si="10"/>
        <v>29.65</v>
      </c>
      <c r="T20" s="29">
        <f t="shared" ref="T20:T26" si="12">IF($B20="","",IFERROR($J20*$S20,"???"))</f>
        <v>5935.93</v>
      </c>
      <c r="U20" s="29">
        <f t="shared" si="11"/>
        <v>7182.4753000000001</v>
      </c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188"/>
      <c r="AH20" s="188"/>
      <c r="AI20" s="188"/>
      <c r="AJ20" s="188"/>
      <c r="AK20" s="188"/>
      <c r="AL20" s="188"/>
    </row>
    <row r="21" spans="1:45" ht="18" customHeight="1" thickBot="1">
      <c r="A21" s="146" t="s">
        <v>10</v>
      </c>
      <c r="B21" s="144" t="s">
        <v>423</v>
      </c>
      <c r="C21" s="198" t="str">
        <f t="shared" si="0"/>
        <v/>
      </c>
      <c r="D21" s="27" t="str">
        <f t="shared" si="1"/>
        <v/>
      </c>
      <c r="E21" s="27" t="str">
        <f t="shared" si="2"/>
        <v/>
      </c>
      <c r="F21" s="27" t="str">
        <f t="shared" si="3"/>
        <v/>
      </c>
      <c r="G21" s="27" t="str">
        <f t="shared" si="4"/>
        <v/>
      </c>
      <c r="H21" s="27" t="str">
        <f t="shared" si="5"/>
        <v/>
      </c>
      <c r="I21" s="27" t="str">
        <f t="shared" si="6"/>
        <v/>
      </c>
      <c r="J21" s="196">
        <f t="shared" si="7"/>
        <v>200.20000000000002</v>
      </c>
      <c r="K21" s="193" t="str">
        <f t="shared" si="8"/>
        <v>???</v>
      </c>
      <c r="L21" s="161">
        <v>2.86</v>
      </c>
      <c r="M21" s="27" t="str">
        <f t="shared" ref="M21" si="13">IF($B21="","",IFERROR(D21*$L21*0.01,"???"))</f>
        <v>???</v>
      </c>
      <c r="N21" s="27" t="str">
        <f t="shared" ref="N21" si="14">IF($B21="","",IFERROR(E21*$L21*0.01,"???"))</f>
        <v>???</v>
      </c>
      <c r="O21" s="27" t="str">
        <f t="shared" ref="O21" si="15">IF($B21="","",IFERROR(F21*$L21*0.01,"???"))</f>
        <v>???</v>
      </c>
      <c r="P21" s="27" t="str">
        <f t="shared" ref="P21" si="16">IF($B21="","",IFERROR(G21*$L21*0.01,"???"))</f>
        <v>???</v>
      </c>
      <c r="Q21" s="27" t="str">
        <f t="shared" ref="Q21" si="17">IF($B21="","",IFERROR(H21*$L21*0.01,"???"))</f>
        <v>???</v>
      </c>
      <c r="R21" s="27" t="str">
        <f t="shared" ref="R21" si="18">IF($B21="","",IFERROR(I21*$L21*0.01,"???"))</f>
        <v>???</v>
      </c>
      <c r="S21" s="28" t="str">
        <f t="shared" si="10"/>
        <v/>
      </c>
      <c r="T21" s="29" t="str">
        <f t="shared" si="12"/>
        <v>???</v>
      </c>
      <c r="U21" s="29" t="str">
        <f t="shared" si="11"/>
        <v>???</v>
      </c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188"/>
      <c r="AH21" s="188"/>
      <c r="AI21" s="188"/>
      <c r="AJ21" s="188"/>
      <c r="AK21" s="188"/>
      <c r="AL21" s="188"/>
    </row>
    <row r="22" spans="1:45" ht="18" customHeight="1" thickBot="1">
      <c r="A22" s="146" t="s">
        <v>11</v>
      </c>
      <c r="B22" s="144" t="s">
        <v>420</v>
      </c>
      <c r="C22" s="198" t="str">
        <f t="shared" si="0"/>
        <v>071235</v>
      </c>
      <c r="D22" s="27">
        <f t="shared" si="1"/>
        <v>22</v>
      </c>
      <c r="E22" s="27">
        <f t="shared" si="2"/>
        <v>5</v>
      </c>
      <c r="F22" s="27">
        <f t="shared" si="3"/>
        <v>10</v>
      </c>
      <c r="G22" s="27">
        <f t="shared" si="4"/>
        <v>3</v>
      </c>
      <c r="H22" s="27">
        <f t="shared" si="5"/>
        <v>0</v>
      </c>
      <c r="I22" s="27">
        <f t="shared" si="6"/>
        <v>0</v>
      </c>
      <c r="J22" s="196">
        <f t="shared" si="7"/>
        <v>200.20000000000002</v>
      </c>
      <c r="K22" s="193">
        <f t="shared" si="8"/>
        <v>10.010000000000002</v>
      </c>
      <c r="L22" s="161">
        <v>2.86</v>
      </c>
      <c r="M22" s="27">
        <f t="shared" si="9"/>
        <v>0.62919999999999998</v>
      </c>
      <c r="N22" s="27">
        <f t="shared" si="9"/>
        <v>0.14299999999999999</v>
      </c>
      <c r="O22" s="27">
        <f t="shared" si="9"/>
        <v>0.28599999999999998</v>
      </c>
      <c r="P22" s="27">
        <f t="shared" si="9"/>
        <v>8.5800000000000001E-2</v>
      </c>
      <c r="Q22" s="27">
        <f t="shared" si="9"/>
        <v>0</v>
      </c>
      <c r="R22" s="27">
        <f t="shared" si="9"/>
        <v>0</v>
      </c>
      <c r="S22" s="28">
        <f t="shared" si="10"/>
        <v>29.65</v>
      </c>
      <c r="T22" s="29">
        <f t="shared" si="12"/>
        <v>5935.93</v>
      </c>
      <c r="U22" s="29">
        <f t="shared" si="11"/>
        <v>7182.4753000000001</v>
      </c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188"/>
      <c r="AH22" s="188"/>
      <c r="AI22" s="188"/>
      <c r="AJ22" s="188"/>
      <c r="AK22" s="188"/>
      <c r="AL22" s="188"/>
    </row>
    <row r="23" spans="1:45" ht="18" customHeight="1" thickBot="1">
      <c r="A23" s="146" t="s">
        <v>19</v>
      </c>
      <c r="B23" s="192" t="s">
        <v>420</v>
      </c>
      <c r="C23" s="198" t="str">
        <f t="shared" si="0"/>
        <v>071235</v>
      </c>
      <c r="D23" s="27">
        <f t="shared" si="1"/>
        <v>22</v>
      </c>
      <c r="E23" s="27">
        <f t="shared" si="2"/>
        <v>5</v>
      </c>
      <c r="F23" s="27">
        <f t="shared" si="3"/>
        <v>10</v>
      </c>
      <c r="G23" s="27">
        <f t="shared" si="4"/>
        <v>3</v>
      </c>
      <c r="H23" s="27">
        <f t="shared" si="5"/>
        <v>0</v>
      </c>
      <c r="I23" s="27">
        <f t="shared" si="6"/>
        <v>0</v>
      </c>
      <c r="J23" s="196">
        <f t="shared" si="7"/>
        <v>200.20000000000002</v>
      </c>
      <c r="K23" s="193">
        <f t="shared" si="8"/>
        <v>10.010000000000002</v>
      </c>
      <c r="L23" s="161">
        <v>2.86</v>
      </c>
      <c r="M23" s="27">
        <f t="shared" si="9"/>
        <v>0.62919999999999998</v>
      </c>
      <c r="N23" s="27">
        <f t="shared" si="9"/>
        <v>0.14299999999999999</v>
      </c>
      <c r="O23" s="27">
        <f t="shared" si="9"/>
        <v>0.28599999999999998</v>
      </c>
      <c r="P23" s="27">
        <f t="shared" si="9"/>
        <v>8.5800000000000001E-2</v>
      </c>
      <c r="Q23" s="27">
        <f t="shared" si="9"/>
        <v>0</v>
      </c>
      <c r="R23" s="27">
        <f t="shared" si="9"/>
        <v>0</v>
      </c>
      <c r="S23" s="28">
        <f t="shared" si="10"/>
        <v>29.65</v>
      </c>
      <c r="T23" s="29">
        <f>IF($B23="","",IFERROR($J23*$S23,"???"))</f>
        <v>5935.93</v>
      </c>
      <c r="U23" s="29">
        <f t="shared" si="11"/>
        <v>7182.4753000000001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188"/>
      <c r="AH23" s="188"/>
      <c r="AI23" s="188"/>
      <c r="AJ23" s="188"/>
      <c r="AK23" s="188"/>
      <c r="AL23" s="188"/>
    </row>
    <row r="24" spans="1:45" ht="18" customHeight="1" thickBot="1">
      <c r="A24" s="146" t="s">
        <v>12</v>
      </c>
      <c r="B24" s="192" t="s">
        <v>421</v>
      </c>
      <c r="C24" s="198" t="str">
        <f t="shared" si="0"/>
        <v>071237</v>
      </c>
      <c r="D24" s="27">
        <f t="shared" si="1"/>
        <v>12</v>
      </c>
      <c r="E24" s="27">
        <f t="shared" si="2"/>
        <v>5</v>
      </c>
      <c r="F24" s="27">
        <f t="shared" si="3"/>
        <v>24</v>
      </c>
      <c r="G24" s="27">
        <f t="shared" si="4"/>
        <v>2</v>
      </c>
      <c r="H24" s="27">
        <f t="shared" si="5"/>
        <v>0</v>
      </c>
      <c r="I24" s="27">
        <f t="shared" si="6"/>
        <v>0</v>
      </c>
      <c r="J24" s="196">
        <f t="shared" si="7"/>
        <v>200.20000000000002</v>
      </c>
      <c r="K24" s="193">
        <f t="shared" si="8"/>
        <v>10.010000000000002</v>
      </c>
      <c r="L24" s="161">
        <v>2.86</v>
      </c>
      <c r="M24" s="27">
        <f t="shared" si="9"/>
        <v>0.34320000000000001</v>
      </c>
      <c r="N24" s="27">
        <f t="shared" si="9"/>
        <v>0.14299999999999999</v>
      </c>
      <c r="O24" s="27">
        <f t="shared" si="9"/>
        <v>0.68640000000000001</v>
      </c>
      <c r="P24" s="27">
        <f t="shared" si="9"/>
        <v>5.7200000000000001E-2</v>
      </c>
      <c r="Q24" s="27">
        <f t="shared" si="9"/>
        <v>0</v>
      </c>
      <c r="R24" s="27">
        <f t="shared" si="9"/>
        <v>0</v>
      </c>
      <c r="S24" s="28">
        <f t="shared" si="10"/>
        <v>41.75</v>
      </c>
      <c r="T24" s="29">
        <f t="shared" si="12"/>
        <v>8358.35</v>
      </c>
      <c r="U24" s="29">
        <f t="shared" si="11"/>
        <v>10113.603499999999</v>
      </c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188"/>
      <c r="AH24" s="188"/>
      <c r="AI24" s="188"/>
      <c r="AJ24" s="188"/>
      <c r="AK24" s="188"/>
      <c r="AL24" s="188"/>
    </row>
    <row r="25" spans="1:45" ht="18" customHeight="1" thickBot="1">
      <c r="A25" s="146" t="s">
        <v>13</v>
      </c>
      <c r="B25" s="192" t="s">
        <v>422</v>
      </c>
      <c r="C25" s="198" t="str">
        <f t="shared" si="0"/>
        <v>071236</v>
      </c>
      <c r="D25" s="27">
        <f t="shared" si="1"/>
        <v>18</v>
      </c>
      <c r="E25" s="27">
        <f t="shared" si="2"/>
        <v>6</v>
      </c>
      <c r="F25" s="27">
        <f t="shared" si="3"/>
        <v>18</v>
      </c>
      <c r="G25" s="27">
        <f t="shared" si="4"/>
        <v>1</v>
      </c>
      <c r="H25" s="27">
        <f t="shared" si="5"/>
        <v>0</v>
      </c>
      <c r="I25" s="27">
        <f t="shared" si="6"/>
        <v>0</v>
      </c>
      <c r="J25" s="196">
        <f t="shared" si="7"/>
        <v>200.20000000000002</v>
      </c>
      <c r="K25" s="193">
        <f t="shared" si="8"/>
        <v>10.010000000000002</v>
      </c>
      <c r="L25" s="161">
        <v>2.86</v>
      </c>
      <c r="M25" s="27">
        <f t="shared" si="9"/>
        <v>0.51479999999999992</v>
      </c>
      <c r="N25" s="27">
        <f t="shared" si="9"/>
        <v>0.1716</v>
      </c>
      <c r="O25" s="27">
        <f t="shared" si="9"/>
        <v>0.51479999999999992</v>
      </c>
      <c r="P25" s="27">
        <f t="shared" si="9"/>
        <v>2.86E-2</v>
      </c>
      <c r="Q25" s="27">
        <f t="shared" si="9"/>
        <v>0</v>
      </c>
      <c r="R25" s="27">
        <f t="shared" si="9"/>
        <v>0</v>
      </c>
      <c r="S25" s="28">
        <f t="shared" si="10"/>
        <v>41.75</v>
      </c>
      <c r="T25" s="29">
        <f t="shared" si="12"/>
        <v>8358.35</v>
      </c>
      <c r="U25" s="29">
        <f t="shared" si="11"/>
        <v>10113.603499999999</v>
      </c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188"/>
      <c r="AH25" s="188"/>
      <c r="AI25" s="188"/>
      <c r="AJ25" s="188"/>
      <c r="AK25" s="188"/>
      <c r="AL25" s="188"/>
    </row>
    <row r="26" spans="1:45" ht="18" customHeight="1" thickBot="1">
      <c r="A26" s="146" t="s">
        <v>36</v>
      </c>
      <c r="B26" s="192" t="s">
        <v>420</v>
      </c>
      <c r="C26" s="198" t="str">
        <f t="shared" si="0"/>
        <v>071235</v>
      </c>
      <c r="D26" s="27">
        <f t="shared" si="1"/>
        <v>22</v>
      </c>
      <c r="E26" s="27">
        <f t="shared" si="2"/>
        <v>5</v>
      </c>
      <c r="F26" s="27">
        <f t="shared" si="3"/>
        <v>10</v>
      </c>
      <c r="G26" s="27">
        <f t="shared" si="4"/>
        <v>3</v>
      </c>
      <c r="H26" s="27">
        <f t="shared" si="5"/>
        <v>0</v>
      </c>
      <c r="I26" s="27">
        <f t="shared" si="6"/>
        <v>0</v>
      </c>
      <c r="J26" s="196">
        <f t="shared" si="7"/>
        <v>200.20000000000002</v>
      </c>
      <c r="K26" s="193">
        <f t="shared" si="8"/>
        <v>10.010000000000002</v>
      </c>
      <c r="L26" s="161">
        <v>2.86</v>
      </c>
      <c r="M26" s="27">
        <f t="shared" si="9"/>
        <v>0.62919999999999998</v>
      </c>
      <c r="N26" s="27">
        <f t="shared" si="9"/>
        <v>0.14299999999999999</v>
      </c>
      <c r="O26" s="27">
        <f t="shared" si="9"/>
        <v>0.28599999999999998</v>
      </c>
      <c r="P26" s="27">
        <f t="shared" si="9"/>
        <v>8.5800000000000001E-2</v>
      </c>
      <c r="Q26" s="27">
        <f t="shared" si="9"/>
        <v>0</v>
      </c>
      <c r="R26" s="27">
        <f t="shared" si="9"/>
        <v>0</v>
      </c>
      <c r="S26" s="28">
        <f t="shared" si="10"/>
        <v>29.65</v>
      </c>
      <c r="T26" s="29">
        <f t="shared" si="12"/>
        <v>5935.93</v>
      </c>
      <c r="U26" s="29">
        <f t="shared" si="11"/>
        <v>7182.4753000000001</v>
      </c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188"/>
      <c r="AH26" s="188"/>
      <c r="AI26" s="188"/>
      <c r="AJ26" s="188"/>
      <c r="AK26" s="188"/>
      <c r="AL26" s="188"/>
    </row>
    <row r="27" spans="1:45" ht="18" customHeight="1" thickBot="1">
      <c r="A27" s="30" t="s">
        <v>5</v>
      </c>
      <c r="B27" s="31"/>
      <c r="C27" s="31"/>
      <c r="D27" s="32"/>
      <c r="E27" s="32"/>
      <c r="F27" s="32"/>
      <c r="G27" s="32"/>
      <c r="H27" s="32"/>
      <c r="I27" s="32"/>
      <c r="J27" s="197">
        <f>SUM(J$18:J$26)</f>
        <v>1801.8000000000002</v>
      </c>
      <c r="K27" s="194">
        <f>SUM(K$18:K$26)</f>
        <v>80.080000000000027</v>
      </c>
      <c r="L27" s="195"/>
      <c r="M27" s="33">
        <f t="shared" ref="M27:R27" si="19">SUM(M$18:M$26)</f>
        <v>4.6617999999999995</v>
      </c>
      <c r="N27" s="33">
        <f t="shared" si="19"/>
        <v>1.2298</v>
      </c>
      <c r="O27" s="33">
        <f t="shared" si="19"/>
        <v>3.0315999999999996</v>
      </c>
      <c r="P27" s="33">
        <f t="shared" si="19"/>
        <v>0.42899999999999999</v>
      </c>
      <c r="Q27" s="33">
        <f t="shared" si="19"/>
        <v>0</v>
      </c>
      <c r="R27" s="33">
        <f t="shared" si="19"/>
        <v>5.7200000000000001E-2</v>
      </c>
      <c r="S27" s="34"/>
      <c r="T27" s="37">
        <f>SUM(T$18:T$26)</f>
        <v>71451.38</v>
      </c>
      <c r="U27" s="37">
        <f>SUM(U$18:U$26)</f>
        <v>86456.169800000003</v>
      </c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188"/>
      <c r="AH27" s="188"/>
      <c r="AI27" s="188"/>
      <c r="AJ27" s="188"/>
      <c r="AK27" s="188"/>
      <c r="AL27" s="188"/>
    </row>
    <row r="28" spans="1:45" ht="13.8" thickBo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38"/>
      <c r="U28" s="38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188"/>
      <c r="AH28" s="188"/>
      <c r="AI28" s="188"/>
      <c r="AJ28" s="188"/>
      <c r="AK28" s="188"/>
      <c r="AL28" s="188"/>
    </row>
    <row r="29" spans="1:45" ht="18.600000000000001" customHeight="1" thickTop="1" thickBo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213" t="s">
        <v>38</v>
      </c>
      <c r="M29" s="214"/>
      <c r="N29" s="154">
        <v>20</v>
      </c>
      <c r="O29" s="44" t="s">
        <v>39</v>
      </c>
      <c r="P29" s="45"/>
      <c r="Q29" s="213" t="s">
        <v>40</v>
      </c>
      <c r="R29" s="215"/>
      <c r="S29" s="216"/>
      <c r="T29" s="46">
        <f>$T$27*(1-$N$29/100)</f>
        <v>57161.104000000007</v>
      </c>
      <c r="U29" s="47">
        <f>$T$29*(1+$U$16)</f>
        <v>69164.935840000006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</row>
    <row r="30" spans="1:45" ht="13.8" thickTop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38"/>
      <c r="U30" s="38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188"/>
      <c r="AH30" s="188"/>
      <c r="AI30" s="188"/>
      <c r="AJ30" s="188"/>
      <c r="AK30" s="188"/>
      <c r="AL30" s="188"/>
    </row>
    <row r="31" spans="1:4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188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</row>
    <row r="32" spans="1:4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188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</row>
    <row r="33" spans="1:3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188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</row>
    <row r="34" spans="1:3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188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</row>
    <row r="35" spans="1:3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188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</row>
    <row r="36" spans="1:3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188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</row>
    <row r="37" spans="1:3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7"/>
      <c r="AB37" s="187"/>
      <c r="AC37" s="187"/>
      <c r="AD37" s="187"/>
      <c r="AE37" s="187"/>
      <c r="AF37" s="187"/>
    </row>
    <row r="38" spans="1:3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7"/>
      <c r="AB38" s="187"/>
      <c r="AC38" s="187"/>
      <c r="AD38" s="187"/>
      <c r="AE38" s="187"/>
      <c r="AF38" s="187"/>
    </row>
    <row r="39" spans="1:3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7"/>
      <c r="AB39" s="187"/>
      <c r="AC39" s="187"/>
      <c r="AD39" s="187"/>
      <c r="AE39" s="187"/>
      <c r="AF39" s="187"/>
    </row>
    <row r="40" spans="1:3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7"/>
      <c r="AB40" s="187"/>
      <c r="AC40" s="187"/>
      <c r="AD40" s="187"/>
      <c r="AE40" s="187"/>
      <c r="AF40" s="187"/>
    </row>
    <row r="41" spans="1:3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187"/>
      <c r="AB41" s="187"/>
      <c r="AC41" s="187"/>
      <c r="AD41" s="187"/>
      <c r="AE41" s="187"/>
      <c r="AF41" s="187"/>
    </row>
    <row r="42" spans="1:3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187"/>
      <c r="AB42" s="187"/>
      <c r="AC42" s="187"/>
      <c r="AD42" s="187"/>
      <c r="AE42" s="187"/>
      <c r="AF42" s="187"/>
    </row>
    <row r="43" spans="1:3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187"/>
      <c r="AB43" s="187"/>
      <c r="AC43" s="187"/>
      <c r="AD43" s="187"/>
      <c r="AE43" s="187"/>
      <c r="AF43" s="187"/>
    </row>
    <row r="44" spans="1:3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187"/>
      <c r="AB44" s="187"/>
      <c r="AC44" s="187"/>
      <c r="AD44" s="187"/>
      <c r="AE44" s="187"/>
      <c r="AF44" s="187"/>
    </row>
    <row r="45" spans="1:3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187"/>
      <c r="AB45" s="187"/>
      <c r="AC45" s="187"/>
      <c r="AD45" s="187"/>
      <c r="AE45" s="187"/>
      <c r="AF45" s="187"/>
    </row>
    <row r="46" spans="1:3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187"/>
      <c r="AB46" s="187"/>
      <c r="AC46" s="187"/>
      <c r="AD46" s="187"/>
      <c r="AE46" s="187"/>
      <c r="AF46" s="187"/>
    </row>
    <row r="47" spans="1:3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187"/>
      <c r="AB47" s="187"/>
      <c r="AC47" s="187"/>
      <c r="AD47" s="187"/>
      <c r="AE47" s="187"/>
      <c r="AF47" s="187"/>
    </row>
    <row r="48" spans="1:3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187"/>
      <c r="AB48" s="187"/>
      <c r="AC48" s="187"/>
      <c r="AD48" s="187"/>
      <c r="AE48" s="187"/>
      <c r="AF48" s="187"/>
    </row>
    <row r="49" spans="1:3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187"/>
      <c r="AB49" s="187"/>
      <c r="AC49" s="187"/>
      <c r="AD49" s="187"/>
      <c r="AE49" s="187"/>
      <c r="AF49" s="187"/>
    </row>
    <row r="50" spans="1:3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187"/>
      <c r="AB50" s="187"/>
      <c r="AC50" s="187"/>
      <c r="AD50" s="187"/>
      <c r="AE50" s="187"/>
      <c r="AF50" s="187"/>
    </row>
    <row r="51" spans="1:3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187"/>
      <c r="AB51" s="187"/>
      <c r="AC51" s="187"/>
      <c r="AD51" s="187"/>
      <c r="AE51" s="187"/>
      <c r="AF51" s="187"/>
    </row>
    <row r="52" spans="1:3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187"/>
      <c r="AB52" s="187"/>
      <c r="AC52" s="187"/>
      <c r="AD52" s="187"/>
      <c r="AE52" s="187"/>
      <c r="AF52" s="187"/>
    </row>
    <row r="53" spans="1:3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187"/>
      <c r="AB53" s="187"/>
      <c r="AC53" s="187"/>
      <c r="AD53" s="187"/>
      <c r="AE53" s="187"/>
      <c r="AF53" s="187"/>
    </row>
    <row r="54" spans="1:32" s="187" customFormat="1">
      <c r="A54" s="188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</row>
    <row r="55" spans="1:32" s="187" customFormat="1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</row>
    <row r="56" spans="1:32" s="187" customFormat="1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</row>
    <row r="57" spans="1:32" s="187" customFormat="1">
      <c r="A57" s="188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</row>
    <row r="58" spans="1:32" s="187" customFormat="1">
      <c r="A58" s="188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</row>
    <row r="59" spans="1:32" s="187" customFormat="1">
      <c r="A59" s="188"/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</row>
    <row r="60" spans="1:32" s="187" customFormat="1"/>
    <row r="61" spans="1:32" s="187" customFormat="1"/>
    <row r="62" spans="1:32" s="187" customFormat="1"/>
    <row r="63" spans="1:32" s="187" customFormat="1"/>
    <row r="64" spans="1:32" s="187" customFormat="1"/>
    <row r="65" s="187" customFormat="1"/>
    <row r="66" s="187" customFormat="1"/>
    <row r="67" s="187" customFormat="1"/>
    <row r="68" s="187" customFormat="1"/>
    <row r="69" s="187" customFormat="1"/>
    <row r="70" s="187" customFormat="1"/>
    <row r="71" s="187" customFormat="1"/>
    <row r="72" s="187" customFormat="1"/>
    <row r="73" s="187" customFormat="1"/>
    <row r="74" s="187" customFormat="1"/>
    <row r="75" s="187" customFormat="1"/>
    <row r="76" s="187" customFormat="1"/>
    <row r="77" s="187" customFormat="1"/>
    <row r="78" s="187" customFormat="1"/>
    <row r="79" s="187" customFormat="1"/>
    <row r="80" s="187" customFormat="1"/>
    <row r="81" s="187" customFormat="1"/>
    <row r="82" s="187" customFormat="1"/>
    <row r="83" s="187" customFormat="1"/>
    <row r="84" s="187" customFormat="1"/>
    <row r="85" s="187" customFormat="1"/>
    <row r="86" s="187" customFormat="1"/>
    <row r="87" s="187" customFormat="1"/>
    <row r="88" s="187" customFormat="1"/>
    <row r="89" s="187" customFormat="1"/>
    <row r="90" s="187" customFormat="1"/>
    <row r="91" s="187" customFormat="1"/>
    <row r="92" s="187" customFormat="1"/>
    <row r="93" s="187" customFormat="1"/>
    <row r="94" s="187" customFormat="1"/>
    <row r="95" s="187" customFormat="1"/>
    <row r="96" s="187" customFormat="1"/>
    <row r="97" s="187" customFormat="1"/>
    <row r="98" s="187" customFormat="1"/>
    <row r="99" s="187" customFormat="1"/>
    <row r="100" s="187" customFormat="1"/>
    <row r="101" s="187" customFormat="1"/>
    <row r="102" s="187" customFormat="1"/>
    <row r="103" s="187" customFormat="1"/>
    <row r="104" s="187" customFormat="1"/>
    <row r="105" s="187" customFormat="1"/>
    <row r="106" s="187" customFormat="1"/>
    <row r="107" s="187" customFormat="1"/>
    <row r="108" s="187" customFormat="1"/>
    <row r="109" s="187" customFormat="1"/>
    <row r="110" s="187" customFormat="1"/>
    <row r="111" s="187" customFormat="1"/>
    <row r="112" s="187" customFormat="1"/>
    <row r="113" s="187" customFormat="1"/>
  </sheetData>
  <sheetProtection formatCells="0" formatColumns="0" formatRows="0" autoFilter="0"/>
  <mergeCells count="9">
    <mergeCell ref="M15:R15"/>
    <mergeCell ref="S15:S16"/>
    <mergeCell ref="L29:M29"/>
    <mergeCell ref="Q29:S29"/>
    <mergeCell ref="A2:K4"/>
    <mergeCell ref="B9:K10"/>
    <mergeCell ref="F13:H13"/>
    <mergeCell ref="I13:J13"/>
    <mergeCell ref="D15:I15"/>
  </mergeCells>
  <dataValidations count="1">
    <dataValidation type="list" allowBlank="1" showInputMessage="1" showErrorMessage="1" sqref="B18:B26">
      <formula1>cis_hnojiva</formula1>
    </dataValidation>
  </dataValidations>
  <pageMargins left="0" right="0" top="0.39370078740157483" bottom="0" header="0.51181102362204722" footer="0.51181102362204722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R144"/>
  <sheetViews>
    <sheetView topLeftCell="B19" workbookViewId="0">
      <selection activeCell="V45" sqref="V45"/>
    </sheetView>
  </sheetViews>
  <sheetFormatPr defaultColWidth="9.109375" defaultRowHeight="13.8"/>
  <cols>
    <col min="1" max="1" width="62.5546875" style="65" customWidth="1"/>
    <col min="2" max="2" width="9.109375" style="65"/>
    <col min="3" max="3" width="41.109375" style="65" bestFit="1" customWidth="1"/>
    <col min="4" max="4" width="29.6640625" style="65" customWidth="1"/>
    <col min="5" max="5" width="9.109375" style="65"/>
    <col min="6" max="6" width="9.33203125" style="65" bestFit="1" customWidth="1"/>
    <col min="7" max="7" width="13.33203125" style="65" customWidth="1"/>
    <col min="8" max="8" width="10" style="65" customWidth="1"/>
    <col min="9" max="9" width="5" style="68" customWidth="1"/>
    <col min="10" max="10" width="4.6640625" style="66" bestFit="1" customWidth="1"/>
    <col min="11" max="11" width="3.88671875" style="70" bestFit="1" customWidth="1"/>
    <col min="12" max="12" width="5.44140625" style="68" bestFit="1" customWidth="1"/>
    <col min="13" max="13" width="4.44140625" style="68" bestFit="1" customWidth="1"/>
    <col min="14" max="14" width="2.6640625" style="68" customWidth="1"/>
    <col min="15" max="15" width="7.44140625" style="68" customWidth="1"/>
    <col min="16" max="16384" width="9.109375" style="65"/>
  </cols>
  <sheetData>
    <row r="1" spans="1:16">
      <c r="B1" s="49" t="s">
        <v>43</v>
      </c>
      <c r="C1" s="49"/>
      <c r="D1" s="49"/>
      <c r="E1" s="49"/>
      <c r="F1" s="49"/>
      <c r="G1" s="49"/>
    </row>
    <row r="2" spans="1:16">
      <c r="A2" s="65">
        <f t="shared" ref="A2:O2" si="0">COLUMN(A2)</f>
        <v>1</v>
      </c>
      <c r="B2" s="65">
        <f t="shared" si="0"/>
        <v>2</v>
      </c>
      <c r="C2" s="65">
        <f t="shared" si="0"/>
        <v>3</v>
      </c>
      <c r="D2" s="65">
        <f t="shared" si="0"/>
        <v>4</v>
      </c>
      <c r="E2" s="65">
        <f t="shared" si="0"/>
        <v>5</v>
      </c>
      <c r="F2" s="65">
        <f t="shared" si="0"/>
        <v>6</v>
      </c>
      <c r="G2" s="65">
        <f t="shared" si="0"/>
        <v>7</v>
      </c>
      <c r="H2" s="65">
        <f t="shared" si="0"/>
        <v>8</v>
      </c>
      <c r="I2" s="65">
        <f t="shared" si="0"/>
        <v>9</v>
      </c>
      <c r="J2" s="65">
        <f t="shared" si="0"/>
        <v>10</v>
      </c>
      <c r="K2" s="65">
        <f t="shared" si="0"/>
        <v>11</v>
      </c>
      <c r="L2" s="65">
        <f t="shared" si="0"/>
        <v>12</v>
      </c>
      <c r="M2" s="65">
        <f t="shared" si="0"/>
        <v>13</v>
      </c>
      <c r="N2" s="65">
        <f t="shared" si="0"/>
        <v>14</v>
      </c>
      <c r="O2" s="65">
        <f t="shared" si="0"/>
        <v>15</v>
      </c>
    </row>
    <row r="3" spans="1:16">
      <c r="B3" s="129"/>
      <c r="C3" s="67"/>
      <c r="D3" s="67"/>
      <c r="E3" s="60"/>
      <c r="F3" s="60"/>
      <c r="G3" s="60"/>
      <c r="H3" s="60"/>
      <c r="I3" s="226" t="s">
        <v>47</v>
      </c>
      <c r="J3" s="226"/>
      <c r="K3" s="226"/>
      <c r="L3" s="226"/>
      <c r="M3" s="226"/>
      <c r="N3" s="226"/>
      <c r="O3" s="227" t="s">
        <v>377</v>
      </c>
    </row>
    <row r="4" spans="1:16" ht="27.6">
      <c r="A4" s="143" t="s">
        <v>393</v>
      </c>
      <c r="B4" s="71" t="s">
        <v>45</v>
      </c>
      <c r="C4" s="72" t="s">
        <v>46</v>
      </c>
      <c r="D4" s="71" t="s">
        <v>47</v>
      </c>
      <c r="E4" s="71" t="s">
        <v>48</v>
      </c>
      <c r="F4" s="72" t="s">
        <v>6</v>
      </c>
      <c r="G4" s="72" t="s">
        <v>49</v>
      </c>
      <c r="H4" s="50"/>
      <c r="I4" s="73" t="s">
        <v>2</v>
      </c>
      <c r="J4" s="74" t="s">
        <v>378</v>
      </c>
      <c r="K4" s="74" t="s">
        <v>379</v>
      </c>
      <c r="L4" s="73" t="s">
        <v>1</v>
      </c>
      <c r="M4" s="73" t="s">
        <v>16</v>
      </c>
      <c r="N4" s="73" t="s">
        <v>17</v>
      </c>
      <c r="O4" s="228"/>
    </row>
    <row r="5" spans="1:16">
      <c r="A5" s="143"/>
      <c r="B5" s="71"/>
      <c r="C5" s="72"/>
      <c r="D5" s="71"/>
      <c r="E5" s="71"/>
      <c r="F5" s="72"/>
      <c r="G5" s="72"/>
      <c r="H5" s="50"/>
      <c r="I5" s="73"/>
      <c r="J5" s="74"/>
      <c r="K5" s="74"/>
      <c r="L5" s="73"/>
      <c r="M5" s="73"/>
      <c r="N5" s="73"/>
      <c r="O5" s="134"/>
    </row>
    <row r="6" spans="1:16">
      <c r="A6" s="85" t="str">
        <f t="shared" ref="A6:A26" si="1">CONCATENATE(C6," ",D6," ",E6)</f>
        <v>Profi - Trávníkové hnojivo SPRINT 27-06-06+2S 20 kg</v>
      </c>
      <c r="B6" s="82" t="s">
        <v>91</v>
      </c>
      <c r="C6" s="85" t="s">
        <v>92</v>
      </c>
      <c r="D6" s="84" t="s">
        <v>93</v>
      </c>
      <c r="E6" s="84" t="s">
        <v>53</v>
      </c>
      <c r="F6" s="78">
        <v>46.5</v>
      </c>
      <c r="G6" s="55">
        <v>930</v>
      </c>
      <c r="I6" s="77">
        <v>27</v>
      </c>
      <c r="J6" s="69">
        <v>6</v>
      </c>
      <c r="K6" s="69">
        <v>6</v>
      </c>
      <c r="L6" s="69"/>
      <c r="M6" s="69"/>
      <c r="N6" s="69">
        <v>2</v>
      </c>
      <c r="O6" s="79">
        <v>20</v>
      </c>
      <c r="P6" s="155" t="s">
        <v>85</v>
      </c>
    </row>
    <row r="7" spans="1:16" ht="14.4">
      <c r="A7" s="85" t="str">
        <f t="shared" si="1"/>
        <v>PROFI Trávníkové hnojivo special  20-5-10+3MgO 20 kg</v>
      </c>
      <c r="B7" s="204" t="s">
        <v>411</v>
      </c>
      <c r="C7" s="203" t="s">
        <v>410</v>
      </c>
      <c r="D7" s="205" t="s">
        <v>415</v>
      </c>
      <c r="E7" s="84" t="s">
        <v>53</v>
      </c>
      <c r="F7" s="206">
        <v>41.75</v>
      </c>
      <c r="G7" s="207">
        <v>835</v>
      </c>
      <c r="I7" s="77">
        <v>20</v>
      </c>
      <c r="J7" s="202">
        <v>5</v>
      </c>
      <c r="K7" s="202">
        <v>10</v>
      </c>
      <c r="L7" s="202">
        <v>3</v>
      </c>
      <c r="M7" s="202"/>
      <c r="N7" s="202"/>
      <c r="O7" s="79">
        <v>20</v>
      </c>
      <c r="P7" s="155"/>
    </row>
    <row r="8" spans="1:16" ht="14.4">
      <c r="A8" s="85" t="str">
        <f t="shared" si="1"/>
        <v>PROFI Trávníkové hnojivo special  22-5-10+3MgO 30 % MU 20 kg</v>
      </c>
      <c r="B8" s="204" t="s">
        <v>412</v>
      </c>
      <c r="C8" s="203" t="s">
        <v>410</v>
      </c>
      <c r="D8" s="205" t="s">
        <v>416</v>
      </c>
      <c r="E8" s="84" t="s">
        <v>53</v>
      </c>
      <c r="F8" s="206">
        <f t="shared" ref="F8" si="2">SUM(G8/20)</f>
        <v>29.65</v>
      </c>
      <c r="G8" s="207">
        <v>593</v>
      </c>
      <c r="I8" s="77">
        <v>22</v>
      </c>
      <c r="J8" s="202">
        <v>5</v>
      </c>
      <c r="K8" s="202">
        <v>10</v>
      </c>
      <c r="L8" s="202">
        <v>3</v>
      </c>
      <c r="M8" s="202"/>
      <c r="N8" s="202"/>
      <c r="O8" s="79">
        <v>20</v>
      </c>
      <c r="P8" s="155"/>
    </row>
    <row r="9" spans="1:16" ht="14.4">
      <c r="A9" s="85" t="str">
        <f t="shared" si="1"/>
        <v>PROFI Trávníkové hnojivo special  18-6-18+1MgO 20 kg</v>
      </c>
      <c r="B9" s="204" t="s">
        <v>413</v>
      </c>
      <c r="C9" s="203" t="s">
        <v>410</v>
      </c>
      <c r="D9" s="205" t="s">
        <v>417</v>
      </c>
      <c r="E9" s="84" t="s">
        <v>53</v>
      </c>
      <c r="F9" s="206">
        <v>41.75</v>
      </c>
      <c r="G9" s="207">
        <v>835</v>
      </c>
      <c r="I9" s="77">
        <v>18</v>
      </c>
      <c r="J9" s="202">
        <v>6</v>
      </c>
      <c r="K9" s="202">
        <v>18</v>
      </c>
      <c r="L9" s="202">
        <v>1</v>
      </c>
      <c r="M9" s="202"/>
      <c r="N9" s="202"/>
      <c r="O9" s="79">
        <v>20</v>
      </c>
      <c r="P9" s="155"/>
    </row>
    <row r="10" spans="1:16" ht="14.4">
      <c r="A10" s="85" t="str">
        <f t="shared" si="1"/>
        <v>PROFI Trávníkové hnojivo special  12-5-24+2MgO 20 kg</v>
      </c>
      <c r="B10" s="204" t="s">
        <v>414</v>
      </c>
      <c r="C10" s="203" t="s">
        <v>410</v>
      </c>
      <c r="D10" s="205" t="s">
        <v>418</v>
      </c>
      <c r="E10" s="84" t="s">
        <v>53</v>
      </c>
      <c r="F10" s="206">
        <v>41.75</v>
      </c>
      <c r="G10" s="207">
        <v>835</v>
      </c>
      <c r="I10" s="77">
        <v>12</v>
      </c>
      <c r="J10" s="202">
        <v>5</v>
      </c>
      <c r="K10" s="202">
        <v>24</v>
      </c>
      <c r="L10" s="202">
        <v>2</v>
      </c>
      <c r="M10" s="202"/>
      <c r="N10" s="202"/>
      <c r="O10" s="79">
        <v>20</v>
      </c>
      <c r="P10" s="155"/>
    </row>
    <row r="11" spans="1:16">
      <c r="A11" s="83" t="str">
        <f t="shared" si="1"/>
        <v>PROFI Trávníkové hnojivo komplex 13-06-14+2MgO 20 kg</v>
      </c>
      <c r="B11" s="82" t="s">
        <v>424</v>
      </c>
      <c r="C11" s="83" t="s">
        <v>425</v>
      </c>
      <c r="D11" s="84" t="s">
        <v>426</v>
      </c>
      <c r="E11" s="84" t="s">
        <v>53</v>
      </c>
      <c r="F11" s="78">
        <v>36</v>
      </c>
      <c r="G11" s="55">
        <v>720</v>
      </c>
      <c r="I11" s="77">
        <v>15</v>
      </c>
      <c r="J11" s="69">
        <v>0</v>
      </c>
      <c r="K11" s="69">
        <v>20</v>
      </c>
      <c r="L11" s="69">
        <v>5</v>
      </c>
      <c r="M11" s="69"/>
      <c r="N11" s="69"/>
      <c r="O11" s="79">
        <v>20</v>
      </c>
      <c r="P11" s="155" t="s">
        <v>85</v>
      </c>
    </row>
    <row r="12" spans="1:16">
      <c r="A12" s="83" t="str">
        <f t="shared" si="1"/>
        <v>PROFI Trávníkové hnojivo special mini 13-00-17+4MgO+2Fe 20 kg</v>
      </c>
      <c r="B12" s="82" t="s">
        <v>86</v>
      </c>
      <c r="C12" s="83" t="s">
        <v>427</v>
      </c>
      <c r="D12" s="84" t="s">
        <v>428</v>
      </c>
      <c r="E12" s="84" t="s">
        <v>53</v>
      </c>
      <c r="F12" s="78">
        <v>49</v>
      </c>
      <c r="G12" s="55">
        <v>980</v>
      </c>
      <c r="I12" s="77">
        <v>13</v>
      </c>
      <c r="J12" s="69">
        <v>0</v>
      </c>
      <c r="K12" s="69">
        <v>17</v>
      </c>
      <c r="L12" s="69">
        <v>4</v>
      </c>
      <c r="M12" s="69">
        <v>2</v>
      </c>
      <c r="N12" s="69"/>
      <c r="O12" s="79">
        <v>20</v>
      </c>
      <c r="P12" s="155" t="s">
        <v>85</v>
      </c>
    </row>
    <row r="13" spans="1:16">
      <c r="A13" s="83" t="str">
        <f t="shared" si="1"/>
        <v>Agromix NPK 10-10-30 20 kg</v>
      </c>
      <c r="B13" s="82" t="s">
        <v>87</v>
      </c>
      <c r="C13" s="83" t="s">
        <v>21</v>
      </c>
      <c r="D13" s="84" t="s">
        <v>88</v>
      </c>
      <c r="E13" s="84" t="s">
        <v>53</v>
      </c>
      <c r="F13" s="78">
        <v>27.5</v>
      </c>
      <c r="G13" s="55">
        <v>550</v>
      </c>
      <c r="I13" s="77">
        <v>10</v>
      </c>
      <c r="J13" s="69">
        <v>10</v>
      </c>
      <c r="K13" s="69">
        <v>30</v>
      </c>
      <c r="L13" s="69"/>
      <c r="M13" s="69"/>
      <c r="N13" s="69"/>
      <c r="O13" s="79">
        <v>20</v>
      </c>
      <c r="P13" s="155" t="s">
        <v>85</v>
      </c>
    </row>
    <row r="14" spans="1:16">
      <c r="A14" s="83" t="str">
        <f t="shared" si="1"/>
        <v>Agromix NPK 15-15-15 20 kg</v>
      </c>
      <c r="B14" s="82" t="s">
        <v>89</v>
      </c>
      <c r="C14" s="83" t="s">
        <v>21</v>
      </c>
      <c r="D14" s="84" t="s">
        <v>90</v>
      </c>
      <c r="E14" s="84" t="s">
        <v>53</v>
      </c>
      <c r="F14" s="78">
        <v>42.75</v>
      </c>
      <c r="G14" s="55">
        <v>855</v>
      </c>
      <c r="I14" s="77">
        <v>15</v>
      </c>
      <c r="J14" s="69">
        <v>15</v>
      </c>
      <c r="K14" s="69">
        <v>15</v>
      </c>
      <c r="L14" s="69"/>
      <c r="M14" s="69"/>
      <c r="N14" s="69"/>
      <c r="O14" s="79">
        <v>20</v>
      </c>
      <c r="P14" s="155" t="s">
        <v>85</v>
      </c>
    </row>
    <row r="15" spans="1:16" ht="15">
      <c r="A15" s="85" t="str">
        <f t="shared" si="1"/>
        <v>Granulovaný vápenec Kalcis Mag 2 mikro 91% CaCo3 + 2% MgCO3 20 kg</v>
      </c>
      <c r="B15" s="90" t="s">
        <v>131</v>
      </c>
      <c r="C15" s="85" t="s">
        <v>132</v>
      </c>
      <c r="D15" s="84" t="s">
        <v>380</v>
      </c>
      <c r="E15" s="84" t="s">
        <v>53</v>
      </c>
      <c r="F15" s="78">
        <v>21.3</v>
      </c>
      <c r="G15" s="55">
        <v>426</v>
      </c>
      <c r="I15" s="77">
        <v>8</v>
      </c>
      <c r="J15" s="69"/>
      <c r="K15" s="69"/>
      <c r="L15" s="69"/>
      <c r="M15" s="69"/>
      <c r="N15" s="69"/>
      <c r="O15" s="79">
        <v>20</v>
      </c>
      <c r="P15" s="155" t="s">
        <v>85</v>
      </c>
    </row>
    <row r="16" spans="1:16">
      <c r="A16" s="83" t="str">
        <f t="shared" si="1"/>
        <v>Síran amonný  21-00-00+23S 20 kg</v>
      </c>
      <c r="B16" s="82" t="s">
        <v>106</v>
      </c>
      <c r="C16" s="83" t="s">
        <v>107</v>
      </c>
      <c r="D16" s="84" t="s">
        <v>108</v>
      </c>
      <c r="E16" s="84" t="s">
        <v>53</v>
      </c>
      <c r="F16" s="78">
        <v>21</v>
      </c>
      <c r="G16" s="55">
        <v>420</v>
      </c>
      <c r="I16" s="77">
        <v>21</v>
      </c>
      <c r="J16" s="69">
        <v>0</v>
      </c>
      <c r="K16" s="69">
        <v>0</v>
      </c>
      <c r="L16" s="69"/>
      <c r="M16" s="69"/>
      <c r="N16" s="69">
        <v>23</v>
      </c>
      <c r="O16" s="79">
        <v>20</v>
      </c>
      <c r="P16" s="155" t="s">
        <v>85</v>
      </c>
    </row>
    <row r="17" spans="1:16">
      <c r="A17" s="85" t="str">
        <f t="shared" si="1"/>
        <v>Síran amonný tříděný  20-00-00+23S 20 kg</v>
      </c>
      <c r="B17" s="90" t="s">
        <v>109</v>
      </c>
      <c r="C17" s="85" t="s">
        <v>110</v>
      </c>
      <c r="D17" s="84" t="s">
        <v>111</v>
      </c>
      <c r="E17" s="84" t="s">
        <v>53</v>
      </c>
      <c r="F17" s="78">
        <v>34.5</v>
      </c>
      <c r="G17" s="55">
        <v>690</v>
      </c>
      <c r="I17" s="77">
        <v>20</v>
      </c>
      <c r="J17" s="69">
        <v>0</v>
      </c>
      <c r="K17" s="69">
        <v>0</v>
      </c>
      <c r="L17" s="69"/>
      <c r="M17" s="69"/>
      <c r="N17" s="69">
        <v>23</v>
      </c>
      <c r="O17" s="79">
        <v>20</v>
      </c>
      <c r="P17" s="155" t="s">
        <v>85</v>
      </c>
    </row>
    <row r="18" spans="1:16">
      <c r="A18" s="88" t="str">
        <f t="shared" si="1"/>
        <v>Ledek vápenatý 15-00-00 20 kg</v>
      </c>
      <c r="B18" s="87" t="s">
        <v>96</v>
      </c>
      <c r="C18" s="88" t="s">
        <v>18</v>
      </c>
      <c r="D18" s="89" t="s">
        <v>97</v>
      </c>
      <c r="E18" s="89" t="s">
        <v>53</v>
      </c>
      <c r="F18" s="78">
        <v>29</v>
      </c>
      <c r="G18" s="55">
        <v>580</v>
      </c>
      <c r="I18" s="77">
        <v>15</v>
      </c>
      <c r="J18" s="69">
        <v>0</v>
      </c>
      <c r="K18" s="69">
        <v>0</v>
      </c>
      <c r="L18" s="69">
        <v>0</v>
      </c>
      <c r="M18" s="69"/>
      <c r="N18" s="69"/>
      <c r="O18" s="79">
        <v>20</v>
      </c>
      <c r="P18" s="155" t="s">
        <v>85</v>
      </c>
    </row>
    <row r="19" spans="1:16">
      <c r="A19" s="88" t="str">
        <f t="shared" si="1"/>
        <v>Ledek amonný s vápencem 27-00-00 20 kg</v>
      </c>
      <c r="B19" s="87" t="s">
        <v>98</v>
      </c>
      <c r="C19" s="88" t="s">
        <v>22</v>
      </c>
      <c r="D19" s="89" t="s">
        <v>99</v>
      </c>
      <c r="E19" s="89" t="s">
        <v>53</v>
      </c>
      <c r="F19" s="78">
        <v>34</v>
      </c>
      <c r="G19" s="56">
        <v>680</v>
      </c>
      <c r="I19" s="77">
        <v>27</v>
      </c>
      <c r="J19" s="69">
        <v>0</v>
      </c>
      <c r="K19" s="69">
        <v>0</v>
      </c>
      <c r="L19" s="69"/>
      <c r="M19" s="69"/>
      <c r="N19" s="69"/>
      <c r="O19" s="79">
        <v>20</v>
      </c>
      <c r="P19" s="155" t="s">
        <v>85</v>
      </c>
    </row>
    <row r="20" spans="1:16">
      <c r="A20" s="76" t="str">
        <f t="shared" si="1"/>
        <v>FENIX Balanced Spring 22-05-11+2MgO 20 kg</v>
      </c>
      <c r="B20" s="75" t="s">
        <v>62</v>
      </c>
      <c r="C20" s="76" t="s">
        <v>41</v>
      </c>
      <c r="D20" s="77" t="s">
        <v>55</v>
      </c>
      <c r="E20" s="77" t="s">
        <v>53</v>
      </c>
      <c r="F20" s="78">
        <v>74</v>
      </c>
      <c r="G20" s="51">
        <v>1480</v>
      </c>
      <c r="H20" s="52"/>
      <c r="I20" s="199">
        <v>22</v>
      </c>
      <c r="J20" s="199">
        <v>5</v>
      </c>
      <c r="K20" s="199">
        <v>11</v>
      </c>
      <c r="L20" s="199">
        <v>2</v>
      </c>
      <c r="M20" s="199">
        <v>0</v>
      </c>
      <c r="N20" s="199">
        <v>0</v>
      </c>
      <c r="O20" s="79">
        <v>20</v>
      </c>
      <c r="P20" s="129" t="s">
        <v>44</v>
      </c>
    </row>
    <row r="21" spans="1:16">
      <c r="A21" s="76" t="str">
        <f t="shared" si="1"/>
        <v>FENIX Balanced Summer  19-08-19+2MgO 20 kg</v>
      </c>
      <c r="B21" s="75" t="s">
        <v>63</v>
      </c>
      <c r="C21" s="76" t="s">
        <v>64</v>
      </c>
      <c r="D21" s="77" t="s">
        <v>65</v>
      </c>
      <c r="E21" s="77" t="s">
        <v>53</v>
      </c>
      <c r="F21" s="78">
        <v>74</v>
      </c>
      <c r="G21" s="51">
        <v>1480</v>
      </c>
      <c r="H21" s="52"/>
      <c r="I21" s="199">
        <v>19</v>
      </c>
      <c r="J21" s="199">
        <v>8</v>
      </c>
      <c r="K21" s="199">
        <v>19</v>
      </c>
      <c r="L21" s="199">
        <v>2</v>
      </c>
      <c r="M21" s="199">
        <v>0</v>
      </c>
      <c r="N21" s="199">
        <v>0</v>
      </c>
      <c r="O21" s="79">
        <v>20</v>
      </c>
      <c r="P21" s="129" t="s">
        <v>44</v>
      </c>
    </row>
    <row r="22" spans="1:16">
      <c r="A22" s="76" t="str">
        <f t="shared" si="1"/>
        <v>FENIX Balanced Autumn 13-05-24+3MgO 20 kg</v>
      </c>
      <c r="B22" s="75" t="s">
        <v>66</v>
      </c>
      <c r="C22" s="76" t="s">
        <v>42</v>
      </c>
      <c r="D22" s="77" t="s">
        <v>67</v>
      </c>
      <c r="E22" s="77" t="s">
        <v>53</v>
      </c>
      <c r="F22" s="78">
        <v>74</v>
      </c>
      <c r="G22" s="51">
        <v>1480</v>
      </c>
      <c r="H22" s="52"/>
      <c r="I22" s="199">
        <v>13</v>
      </c>
      <c r="J22" s="199">
        <v>5</v>
      </c>
      <c r="K22" s="199">
        <v>24</v>
      </c>
      <c r="L22" s="199">
        <v>3</v>
      </c>
      <c r="M22" s="199">
        <v>0</v>
      </c>
      <c r="N22" s="199">
        <v>0</v>
      </c>
      <c r="O22" s="79">
        <v>20</v>
      </c>
      <c r="P22" s="129" t="s">
        <v>44</v>
      </c>
    </row>
    <row r="23" spans="1:16">
      <c r="A23" s="76" t="str">
        <f t="shared" si="1"/>
        <v>FENIX Basic Pre-seed 15-20-10+3MgO 20 kg</v>
      </c>
      <c r="B23" s="75" t="s">
        <v>50</v>
      </c>
      <c r="C23" s="76" t="s">
        <v>51</v>
      </c>
      <c r="D23" s="77" t="s">
        <v>52</v>
      </c>
      <c r="E23" s="77" t="s">
        <v>53</v>
      </c>
      <c r="F23" s="78">
        <v>62.5</v>
      </c>
      <c r="G23" s="51">
        <v>1250</v>
      </c>
      <c r="H23" s="48"/>
      <c r="I23" s="199">
        <v>15</v>
      </c>
      <c r="J23" s="199">
        <v>20</v>
      </c>
      <c r="K23" s="199">
        <v>10</v>
      </c>
      <c r="L23" s="199">
        <v>3</v>
      </c>
      <c r="M23" s="199">
        <v>0</v>
      </c>
      <c r="N23" s="199">
        <v>0</v>
      </c>
      <c r="O23" s="79">
        <v>20</v>
      </c>
      <c r="P23" s="129" t="s">
        <v>44</v>
      </c>
    </row>
    <row r="24" spans="1:16">
      <c r="A24" s="76" t="str">
        <f t="shared" si="1"/>
        <v>FENIX Basic 25 % N MU 21-05-06+3MgO 20 kg</v>
      </c>
      <c r="B24" s="75" t="s">
        <v>54</v>
      </c>
      <c r="C24" s="76" t="s">
        <v>430</v>
      </c>
      <c r="D24" s="77" t="s">
        <v>431</v>
      </c>
      <c r="E24" s="77" t="s">
        <v>53</v>
      </c>
      <c r="F24" s="78">
        <v>64.5</v>
      </c>
      <c r="G24" s="51">
        <v>1290</v>
      </c>
      <c r="H24" s="52"/>
      <c r="I24" s="199">
        <v>22</v>
      </c>
      <c r="J24" s="199">
        <v>5</v>
      </c>
      <c r="K24" s="199">
        <v>11</v>
      </c>
      <c r="L24" s="199">
        <v>2</v>
      </c>
      <c r="M24" s="199">
        <v>0</v>
      </c>
      <c r="N24" s="199">
        <v>0</v>
      </c>
      <c r="O24" s="79">
        <v>20</v>
      </c>
      <c r="P24" s="129" t="s">
        <v>44</v>
      </c>
    </row>
    <row r="25" spans="1:16">
      <c r="A25" s="76" t="str">
        <f t="shared" si="1"/>
        <v>FENIX Basic Summer  19-00-19+2MgO 20 kg</v>
      </c>
      <c r="B25" s="75" t="s">
        <v>56</v>
      </c>
      <c r="C25" s="76" t="s">
        <v>57</v>
      </c>
      <c r="D25" s="77" t="s">
        <v>58</v>
      </c>
      <c r="E25" s="77" t="s">
        <v>53</v>
      </c>
      <c r="F25" s="78">
        <v>54.5</v>
      </c>
      <c r="G25" s="51">
        <v>1029</v>
      </c>
      <c r="H25" s="52"/>
      <c r="I25" s="199">
        <v>19</v>
      </c>
      <c r="J25" s="199">
        <v>0</v>
      </c>
      <c r="K25" s="199">
        <v>19</v>
      </c>
      <c r="L25" s="199">
        <v>2</v>
      </c>
      <c r="M25" s="199">
        <v>0</v>
      </c>
      <c r="N25" s="199">
        <v>0</v>
      </c>
      <c r="O25" s="79">
        <v>20</v>
      </c>
      <c r="P25" s="129" t="s">
        <v>44</v>
      </c>
    </row>
    <row r="26" spans="1:16">
      <c r="A26" s="76" t="str">
        <f t="shared" si="1"/>
        <v>FENIX Basic Autumn 13-00-26+2MgO 20 kg</v>
      </c>
      <c r="B26" s="75" t="s">
        <v>59</v>
      </c>
      <c r="C26" s="76" t="s">
        <v>60</v>
      </c>
      <c r="D26" s="77" t="s">
        <v>61</v>
      </c>
      <c r="E26" s="77" t="s">
        <v>53</v>
      </c>
      <c r="F26" s="78">
        <v>54.5</v>
      </c>
      <c r="G26" s="51">
        <v>1029</v>
      </c>
      <c r="H26" s="52"/>
      <c r="I26" s="199">
        <v>13</v>
      </c>
      <c r="J26" s="199">
        <v>0</v>
      </c>
      <c r="K26" s="199">
        <v>26</v>
      </c>
      <c r="L26" s="199">
        <v>2</v>
      </c>
      <c r="M26" s="199">
        <v>0</v>
      </c>
      <c r="N26" s="199">
        <v>0</v>
      </c>
      <c r="O26" s="79">
        <v>20</v>
      </c>
      <c r="P26" s="129" t="s">
        <v>44</v>
      </c>
    </row>
    <row r="27" spans="1:16">
      <c r="A27" s="76" t="str">
        <f t="shared" ref="A27:A34" si="3">CONCATENATE(C27," ",D27," ",E27)</f>
        <v>FENIX Premium Spring 22-05-11+3MgO 20 kg</v>
      </c>
      <c r="B27" s="75" t="s">
        <v>68</v>
      </c>
      <c r="C27" s="76" t="s">
        <v>69</v>
      </c>
      <c r="D27" s="77" t="s">
        <v>70</v>
      </c>
      <c r="E27" s="77" t="s">
        <v>53</v>
      </c>
      <c r="F27" s="78">
        <v>80.5</v>
      </c>
      <c r="G27" s="51">
        <v>1610</v>
      </c>
      <c r="H27" s="52"/>
      <c r="I27" s="199">
        <v>22</v>
      </c>
      <c r="J27" s="199">
        <v>5</v>
      </c>
      <c r="K27" s="199">
        <v>11</v>
      </c>
      <c r="L27" s="199">
        <v>3</v>
      </c>
      <c r="M27" s="199">
        <v>0</v>
      </c>
      <c r="N27" s="199">
        <v>0</v>
      </c>
      <c r="O27" s="79">
        <v>20</v>
      </c>
      <c r="P27" s="129" t="s">
        <v>44</v>
      </c>
    </row>
    <row r="28" spans="1:16">
      <c r="A28" s="76" t="str">
        <f t="shared" si="3"/>
        <v>FENIX Premium Summer  19-00-19+3MgO 20 kg</v>
      </c>
      <c r="B28" s="75" t="s">
        <v>71</v>
      </c>
      <c r="C28" s="76" t="s">
        <v>72</v>
      </c>
      <c r="D28" s="77" t="s">
        <v>73</v>
      </c>
      <c r="E28" s="77" t="s">
        <v>53</v>
      </c>
      <c r="F28" s="78">
        <v>80.5</v>
      </c>
      <c r="G28" s="51">
        <v>1610</v>
      </c>
      <c r="H28" s="52"/>
      <c r="I28" s="199">
        <v>19</v>
      </c>
      <c r="J28" s="199">
        <v>0</v>
      </c>
      <c r="K28" s="199">
        <v>19</v>
      </c>
      <c r="L28" s="199">
        <v>3</v>
      </c>
      <c r="M28" s="199">
        <v>0</v>
      </c>
      <c r="N28" s="199">
        <v>0</v>
      </c>
      <c r="O28" s="79">
        <v>20</v>
      </c>
      <c r="P28" s="129" t="s">
        <v>44</v>
      </c>
    </row>
    <row r="29" spans="1:16">
      <c r="A29" s="76" t="str">
        <f t="shared" si="3"/>
        <v>FENIX Premium Autumn 13-00-26+3MgO 20 kg</v>
      </c>
      <c r="B29" s="75" t="s">
        <v>74</v>
      </c>
      <c r="C29" s="76" t="s">
        <v>75</v>
      </c>
      <c r="D29" s="77" t="s">
        <v>76</v>
      </c>
      <c r="E29" s="77" t="s">
        <v>53</v>
      </c>
      <c r="F29" s="78">
        <v>80.5</v>
      </c>
      <c r="G29" s="51">
        <v>1610</v>
      </c>
      <c r="H29" s="52"/>
      <c r="I29" s="199">
        <v>13</v>
      </c>
      <c r="J29" s="199">
        <v>0</v>
      </c>
      <c r="K29" s="199">
        <v>26</v>
      </c>
      <c r="L29" s="199">
        <v>3</v>
      </c>
      <c r="M29" s="199">
        <v>0</v>
      </c>
      <c r="N29" s="199">
        <v>0</v>
      </c>
      <c r="O29" s="79">
        <v>20</v>
      </c>
      <c r="P29" s="129" t="s">
        <v>44</v>
      </c>
    </row>
    <row r="30" spans="1:16">
      <c r="A30" s="76" t="str">
        <f t="shared" si="3"/>
        <v>FENIX First 25% CRF 21-05-06+2,5MgO 20 kg</v>
      </c>
      <c r="B30" s="199" t="s">
        <v>77</v>
      </c>
      <c r="C30" s="76" t="s">
        <v>432</v>
      </c>
      <c r="D30" s="77" t="s">
        <v>78</v>
      </c>
      <c r="E30" s="77" t="s">
        <v>53</v>
      </c>
      <c r="F30" s="78">
        <v>64.5</v>
      </c>
      <c r="G30" s="53">
        <v>1290</v>
      </c>
      <c r="H30" s="52"/>
      <c r="I30" s="199">
        <v>21</v>
      </c>
      <c r="J30" s="199">
        <v>5</v>
      </c>
      <c r="K30" s="199">
        <v>6</v>
      </c>
      <c r="L30" s="199">
        <v>2.5</v>
      </c>
      <c r="M30" s="199">
        <v>0</v>
      </c>
      <c r="N30" s="199">
        <v>0</v>
      </c>
      <c r="O30" s="79">
        <v>20</v>
      </c>
      <c r="P30" s="129" t="s">
        <v>44</v>
      </c>
    </row>
    <row r="31" spans="1:16">
      <c r="A31" s="76" t="str">
        <f t="shared" si="3"/>
        <v>FENIX Premium Pre-seed 15-20-10+3MgO 20 kg</v>
      </c>
      <c r="B31" s="199" t="s">
        <v>79</v>
      </c>
      <c r="C31" s="76" t="s">
        <v>429</v>
      </c>
      <c r="D31" s="77" t="s">
        <v>52</v>
      </c>
      <c r="E31" s="77" t="s">
        <v>53</v>
      </c>
      <c r="F31" s="78">
        <v>77.5</v>
      </c>
      <c r="G31" s="53">
        <v>1550</v>
      </c>
      <c r="H31" s="54"/>
      <c r="I31" s="199">
        <v>20</v>
      </c>
      <c r="J31" s="199">
        <v>5</v>
      </c>
      <c r="K31" s="199">
        <v>8</v>
      </c>
      <c r="L31" s="199">
        <v>2</v>
      </c>
      <c r="M31" s="199">
        <v>0</v>
      </c>
      <c r="N31" s="199">
        <v>0</v>
      </c>
      <c r="O31" s="79">
        <v>20</v>
      </c>
      <c r="P31" s="129" t="s">
        <v>44</v>
      </c>
    </row>
    <row r="32" spans="1:16">
      <c r="A32" s="76" t="str">
        <f t="shared" si="3"/>
        <v>FENIX Pro Starter 47% N CRF 19-19-05+2MgO 20 kg</v>
      </c>
      <c r="B32" s="199" t="s">
        <v>80</v>
      </c>
      <c r="C32" s="76" t="s">
        <v>433</v>
      </c>
      <c r="D32" s="77" t="s">
        <v>81</v>
      </c>
      <c r="E32" s="77" t="s">
        <v>53</v>
      </c>
      <c r="F32" s="78">
        <v>84</v>
      </c>
      <c r="G32" s="53">
        <v>1680</v>
      </c>
      <c r="H32" s="54"/>
      <c r="I32" s="199">
        <v>19</v>
      </c>
      <c r="J32" s="199">
        <v>19</v>
      </c>
      <c r="K32" s="199">
        <v>5</v>
      </c>
      <c r="L32" s="199">
        <v>2</v>
      </c>
      <c r="M32" s="199">
        <v>0</v>
      </c>
      <c r="N32" s="199">
        <v>0</v>
      </c>
      <c r="O32" s="79">
        <v>20</v>
      </c>
      <c r="P32" s="129" t="s">
        <v>44</v>
      </c>
    </row>
    <row r="33" spans="1:16">
      <c r="A33" s="76" t="str">
        <f t="shared" si="3"/>
        <v>FENIX Pro Spring and Summer 40% N CRF 22-5-11+3MgO 20 kg</v>
      </c>
      <c r="B33" s="199" t="s">
        <v>82</v>
      </c>
      <c r="C33" s="76" t="s">
        <v>434</v>
      </c>
      <c r="D33" s="208" t="s">
        <v>435</v>
      </c>
      <c r="E33" s="77" t="s">
        <v>53</v>
      </c>
      <c r="F33" s="78">
        <v>80.599999999999994</v>
      </c>
      <c r="G33" s="53">
        <v>1612</v>
      </c>
      <c r="H33" s="54"/>
      <c r="I33" s="199">
        <v>16</v>
      </c>
      <c r="J33" s="199">
        <v>8</v>
      </c>
      <c r="K33" s="199">
        <v>16</v>
      </c>
      <c r="L33" s="199">
        <v>5</v>
      </c>
      <c r="M33" s="199">
        <v>0</v>
      </c>
      <c r="N33" s="199">
        <v>0</v>
      </c>
      <c r="O33" s="79">
        <v>20</v>
      </c>
      <c r="P33" s="129" t="s">
        <v>44</v>
      </c>
    </row>
    <row r="34" spans="1:16">
      <c r="A34" s="76" t="str">
        <f t="shared" si="3"/>
        <v>FENIX Pro Autumn 40% N CRF 13-05-16+2MgO 20 kg</v>
      </c>
      <c r="B34" s="199" t="s">
        <v>83</v>
      </c>
      <c r="C34" s="76" t="s">
        <v>436</v>
      </c>
      <c r="D34" s="77" t="s">
        <v>84</v>
      </c>
      <c r="E34" s="77" t="s">
        <v>53</v>
      </c>
      <c r="F34" s="78">
        <v>80.599999999999994</v>
      </c>
      <c r="G34" s="53">
        <v>1612</v>
      </c>
      <c r="H34" s="54"/>
      <c r="I34" s="199">
        <v>13</v>
      </c>
      <c r="J34" s="199">
        <v>5</v>
      </c>
      <c r="K34" s="199">
        <v>16</v>
      </c>
      <c r="L34" s="199">
        <v>2</v>
      </c>
      <c r="M34" s="199">
        <v>0</v>
      </c>
      <c r="N34" s="199">
        <v>0</v>
      </c>
      <c r="O34" s="79">
        <v>20</v>
      </c>
      <c r="P34" s="129" t="s">
        <v>44</v>
      </c>
    </row>
    <row r="35" spans="1:16">
      <c r="A35" s="83" t="str">
        <f t="shared" ref="A35:A44" si="4">CONCATENATE(C35," ",D35," ",E35)</f>
        <v>Okrasné dřeviny 07-10-17+1MgO 20 kg</v>
      </c>
      <c r="B35" s="82" t="s">
        <v>94</v>
      </c>
      <c r="C35" s="83" t="s">
        <v>95</v>
      </c>
      <c r="D35" s="84" t="s">
        <v>437</v>
      </c>
      <c r="E35" s="84" t="s">
        <v>53</v>
      </c>
      <c r="F35" s="78">
        <v>28.5</v>
      </c>
      <c r="G35" s="55">
        <v>570</v>
      </c>
      <c r="H35" s="86"/>
      <c r="I35" s="77">
        <v>8</v>
      </c>
      <c r="J35" s="69">
        <v>10</v>
      </c>
      <c r="K35" s="69">
        <v>17</v>
      </c>
      <c r="L35" s="69">
        <v>6</v>
      </c>
      <c r="M35" s="69"/>
      <c r="N35" s="69"/>
      <c r="O35" s="79">
        <v>20</v>
      </c>
      <c r="P35" s="155" t="s">
        <v>85</v>
      </c>
    </row>
    <row r="36" spans="1:16">
      <c r="A36" s="88" t="str">
        <f t="shared" si="4"/>
        <v>Močovina 46-00-00 15 kg</v>
      </c>
      <c r="B36" s="87" t="s">
        <v>100</v>
      </c>
      <c r="C36" s="88" t="s">
        <v>20</v>
      </c>
      <c r="D36" s="89" t="s">
        <v>101</v>
      </c>
      <c r="E36" s="89" t="s">
        <v>102</v>
      </c>
      <c r="F36" s="78">
        <v>44.53</v>
      </c>
      <c r="G36" s="56">
        <v>668</v>
      </c>
      <c r="I36" s="77">
        <v>46</v>
      </c>
      <c r="J36" s="69">
        <v>0</v>
      </c>
      <c r="K36" s="69">
        <v>0</v>
      </c>
      <c r="L36" s="69"/>
      <c r="M36" s="69"/>
      <c r="N36" s="69"/>
      <c r="O36" s="79">
        <v>15</v>
      </c>
      <c r="P36" s="155" t="s">
        <v>85</v>
      </c>
    </row>
    <row r="37" spans="1:16">
      <c r="A37" s="85" t="str">
        <f t="shared" si="4"/>
        <v>Agro NPK  11-07-07 20 kg</v>
      </c>
      <c r="B37" s="82" t="s">
        <v>103</v>
      </c>
      <c r="C37" s="85" t="s">
        <v>104</v>
      </c>
      <c r="D37" s="84" t="s">
        <v>105</v>
      </c>
      <c r="E37" s="84" t="s">
        <v>53</v>
      </c>
      <c r="F37" s="78">
        <v>24.95</v>
      </c>
      <c r="G37" s="55">
        <v>499</v>
      </c>
      <c r="I37" s="77">
        <v>11</v>
      </c>
      <c r="J37" s="69">
        <v>7</v>
      </c>
      <c r="K37" s="69">
        <v>7</v>
      </c>
      <c r="L37" s="69"/>
      <c r="M37" s="69"/>
      <c r="N37" s="69"/>
      <c r="O37" s="79">
        <v>20</v>
      </c>
      <c r="P37" s="155" t="s">
        <v>85</v>
      </c>
    </row>
    <row r="38" spans="1:16">
      <c r="A38" s="92" t="str">
        <f t="shared" si="4"/>
        <v>Cererit                                     08-13-11+2MgO+ME 20 kg</v>
      </c>
      <c r="B38" s="91" t="s">
        <v>112</v>
      </c>
      <c r="C38" s="92" t="s">
        <v>113</v>
      </c>
      <c r="D38" s="69" t="s">
        <v>114</v>
      </c>
      <c r="E38" s="69" t="s">
        <v>53</v>
      </c>
      <c r="F38" s="78">
        <v>25.63</v>
      </c>
      <c r="G38" s="55">
        <v>512.5</v>
      </c>
      <c r="H38" s="93"/>
      <c r="I38" s="77">
        <v>8</v>
      </c>
      <c r="J38" s="69">
        <v>13</v>
      </c>
      <c r="K38" s="69">
        <v>11</v>
      </c>
      <c r="L38" s="69">
        <v>2</v>
      </c>
      <c r="M38" s="69"/>
      <c r="N38" s="69"/>
      <c r="O38" s="79">
        <v>20</v>
      </c>
      <c r="P38" s="155" t="s">
        <v>85</v>
      </c>
    </row>
    <row r="39" spans="1:16">
      <c r="A39" s="83" t="str">
        <f t="shared" si="4"/>
        <v>Draselná sůl  00-00-60 20 kg</v>
      </c>
      <c r="B39" s="82" t="s">
        <v>115</v>
      </c>
      <c r="C39" s="83" t="s">
        <v>116</v>
      </c>
      <c r="D39" s="84" t="s">
        <v>117</v>
      </c>
      <c r="E39" s="84" t="s">
        <v>53</v>
      </c>
      <c r="F39" s="78">
        <v>21.6</v>
      </c>
      <c r="G39" s="55">
        <v>432</v>
      </c>
      <c r="I39" s="77">
        <v>0</v>
      </c>
      <c r="J39" s="69">
        <v>0</v>
      </c>
      <c r="K39" s="69">
        <v>60</v>
      </c>
      <c r="L39" s="69"/>
      <c r="M39" s="69"/>
      <c r="N39" s="69"/>
      <c r="O39" s="79">
        <v>20</v>
      </c>
      <c r="P39" s="155" t="s">
        <v>85</v>
      </c>
    </row>
    <row r="40" spans="1:16">
      <c r="A40" s="83" t="str">
        <f t="shared" si="4"/>
        <v>Vápnitý dolomit  55CaO,35MgO 40 kg</v>
      </c>
      <c r="B40" s="82" t="s">
        <v>118</v>
      </c>
      <c r="C40" s="83" t="s">
        <v>119</v>
      </c>
      <c r="D40" s="84" t="s">
        <v>120</v>
      </c>
      <c r="E40" s="84" t="s">
        <v>121</v>
      </c>
      <c r="F40" s="78">
        <v>4.5599999999999996</v>
      </c>
      <c r="G40" s="55">
        <v>182.5</v>
      </c>
      <c r="I40" s="77">
        <v>8</v>
      </c>
      <c r="J40" s="69"/>
      <c r="K40" s="69"/>
      <c r="L40" s="69">
        <v>35</v>
      </c>
      <c r="M40" s="69"/>
      <c r="N40" s="69"/>
      <c r="O40" s="79">
        <v>40</v>
      </c>
      <c r="P40" s="155" t="s">
        <v>85</v>
      </c>
    </row>
    <row r="41" spans="1:16">
      <c r="A41" s="85" t="str">
        <f t="shared" si="4"/>
        <v>Zelená skalice  25 kg</v>
      </c>
      <c r="B41" s="90" t="s">
        <v>122</v>
      </c>
      <c r="C41" s="85" t="s">
        <v>123</v>
      </c>
      <c r="D41" s="76"/>
      <c r="E41" s="84" t="s">
        <v>124</v>
      </c>
      <c r="F41" s="78">
        <v>38.56</v>
      </c>
      <c r="G41" s="55">
        <v>964</v>
      </c>
      <c r="I41" s="77">
        <v>8</v>
      </c>
      <c r="J41" s="69"/>
      <c r="K41" s="69"/>
      <c r="L41" s="69"/>
      <c r="M41" s="69"/>
      <c r="N41" s="69"/>
      <c r="O41" s="79">
        <v>25</v>
      </c>
      <c r="P41" s="155" t="s">
        <v>85</v>
      </c>
    </row>
    <row r="42" spans="1:16">
      <c r="A42" s="85" t="str">
        <f t="shared" si="4"/>
        <v>Silvamix MG - tablety 10-13-6,5 20 kg</v>
      </c>
      <c r="B42" s="90" t="s">
        <v>125</v>
      </c>
      <c r="C42" s="85" t="s">
        <v>126</v>
      </c>
      <c r="D42" s="84" t="s">
        <v>127</v>
      </c>
      <c r="E42" s="84" t="s">
        <v>53</v>
      </c>
      <c r="F42" s="78">
        <f>SUM(G42/20)</f>
        <v>121.5</v>
      </c>
      <c r="G42" s="55">
        <v>2430</v>
      </c>
      <c r="H42" s="80"/>
      <c r="I42" s="77">
        <v>10</v>
      </c>
      <c r="J42" s="69">
        <v>13</v>
      </c>
      <c r="K42" s="69">
        <v>6.5</v>
      </c>
      <c r="L42" s="69"/>
      <c r="M42" s="69"/>
      <c r="N42" s="69"/>
      <c r="O42" s="79">
        <v>20</v>
      </c>
      <c r="P42" s="155" t="s">
        <v>85</v>
      </c>
    </row>
    <row r="43" spans="1:16">
      <c r="A43" s="85" t="str">
        <f t="shared" si="4"/>
        <v>Yara Mila Complex  12-11-18+2MgO+ME 25 kg</v>
      </c>
      <c r="B43" s="90" t="s">
        <v>128</v>
      </c>
      <c r="C43" s="85" t="s">
        <v>129</v>
      </c>
      <c r="D43" s="84" t="s">
        <v>130</v>
      </c>
      <c r="E43" s="84" t="s">
        <v>124</v>
      </c>
      <c r="F43" s="78">
        <f>SUM(G43/25)</f>
        <v>25.52</v>
      </c>
      <c r="G43" s="55">
        <v>638</v>
      </c>
      <c r="I43" s="77">
        <v>12</v>
      </c>
      <c r="J43" s="69">
        <v>11</v>
      </c>
      <c r="K43" s="69">
        <v>18</v>
      </c>
      <c r="L43" s="69">
        <v>2</v>
      </c>
      <c r="M43" s="69"/>
      <c r="N43" s="69"/>
      <c r="O43" s="79">
        <v>25</v>
      </c>
      <c r="P43" s="155" t="s">
        <v>85</v>
      </c>
    </row>
    <row r="44" spans="1:16">
      <c r="A44" s="92" t="str">
        <f t="shared" si="4"/>
        <v>Yara Liva Calcinit (Ledek vápenatý) 15,5% N  25 kg</v>
      </c>
      <c r="B44" s="94" t="s">
        <v>133</v>
      </c>
      <c r="C44" s="92" t="s">
        <v>134</v>
      </c>
      <c r="D44" s="69" t="s">
        <v>135</v>
      </c>
      <c r="E44" s="69" t="s">
        <v>124</v>
      </c>
      <c r="F44" s="95">
        <f>SUM(G44/25)</f>
        <v>27.92</v>
      </c>
      <c r="G44" s="61">
        <v>698</v>
      </c>
      <c r="H44" s="93"/>
      <c r="I44" s="131">
        <v>15.5</v>
      </c>
      <c r="J44" s="69"/>
      <c r="K44" s="69"/>
      <c r="L44" s="69"/>
      <c r="M44" s="69"/>
      <c r="N44" s="69"/>
      <c r="O44" s="79">
        <v>25</v>
      </c>
      <c r="P44" s="155" t="s">
        <v>85</v>
      </c>
    </row>
    <row r="45" spans="1:16">
      <c r="A45" s="92" t="str">
        <f t="shared" ref="A45:A48" si="5">CONCATENATE(C45," ",D45," ",E45)</f>
        <v>Match Golf All season 12-04-09+2MgO+1Fe 25 kg</v>
      </c>
      <c r="B45" s="91" t="s">
        <v>136</v>
      </c>
      <c r="C45" s="92" t="s">
        <v>438</v>
      </c>
      <c r="D45" s="96" t="s">
        <v>439</v>
      </c>
      <c r="E45" s="69" t="s">
        <v>124</v>
      </c>
      <c r="F45" s="78">
        <v>47.96</v>
      </c>
      <c r="G45" s="61">
        <v>1199</v>
      </c>
      <c r="I45" s="77">
        <v>12</v>
      </c>
      <c r="J45" s="69">
        <v>4</v>
      </c>
      <c r="K45" s="69">
        <v>9</v>
      </c>
      <c r="L45" s="130">
        <v>2</v>
      </c>
      <c r="M45" s="69"/>
      <c r="N45" s="69"/>
      <c r="O45" s="69">
        <v>25</v>
      </c>
      <c r="P45" s="156" t="s">
        <v>382</v>
      </c>
    </row>
    <row r="46" spans="1:16">
      <c r="A46" s="92" t="str">
        <f t="shared" si="5"/>
        <v>Myco Sport Proto Plus 08-03-06+microb 25 kg</v>
      </c>
      <c r="B46" s="97" t="s">
        <v>137</v>
      </c>
      <c r="C46" s="98" t="s">
        <v>138</v>
      </c>
      <c r="D46" s="99" t="s">
        <v>139</v>
      </c>
      <c r="E46" s="100" t="s">
        <v>124</v>
      </c>
      <c r="F46" s="78">
        <f>SUM(G46/25)</f>
        <v>46.8</v>
      </c>
      <c r="G46" s="57">
        <v>1170</v>
      </c>
      <c r="I46" s="77">
        <v>8</v>
      </c>
      <c r="J46" s="69">
        <v>3</v>
      </c>
      <c r="K46" s="69">
        <v>6</v>
      </c>
      <c r="L46" s="130"/>
      <c r="M46" s="69"/>
      <c r="N46" s="69"/>
      <c r="O46" s="69">
        <v>25</v>
      </c>
      <c r="P46" s="156" t="s">
        <v>382</v>
      </c>
    </row>
    <row r="47" spans="1:16">
      <c r="A47" s="92" t="str">
        <f t="shared" si="5"/>
        <v>Impact Organic Medium     14-02-08+Mu 20 kg</v>
      </c>
      <c r="B47" s="75" t="s">
        <v>140</v>
      </c>
      <c r="C47" s="101" t="s">
        <v>141</v>
      </c>
      <c r="D47" s="102" t="s">
        <v>142</v>
      </c>
      <c r="E47" s="103" t="s">
        <v>53</v>
      </c>
      <c r="F47" s="78">
        <f>SUM(G47/20)</f>
        <v>60</v>
      </c>
      <c r="G47" s="104">
        <v>1200</v>
      </c>
      <c r="I47" s="77">
        <v>14</v>
      </c>
      <c r="J47" s="69">
        <v>2</v>
      </c>
      <c r="K47" s="69">
        <v>8</v>
      </c>
      <c r="L47" s="130"/>
      <c r="M47" s="69"/>
      <c r="N47" s="69"/>
      <c r="O47" s="69">
        <v>20</v>
      </c>
      <c r="P47" s="156" t="s">
        <v>382</v>
      </c>
    </row>
    <row r="48" spans="1:16">
      <c r="A48" s="92" t="str">
        <f t="shared" si="5"/>
        <v>Impact Organic Medium  06-03-18+Mg 20 kg</v>
      </c>
      <c r="B48" s="75" t="s">
        <v>143</v>
      </c>
      <c r="C48" s="101" t="s">
        <v>144</v>
      </c>
      <c r="D48" s="102" t="s">
        <v>145</v>
      </c>
      <c r="E48" s="103" t="s">
        <v>53</v>
      </c>
      <c r="F48" s="78">
        <f>SUM(G48/20)</f>
        <v>60</v>
      </c>
      <c r="G48" s="104">
        <v>1200</v>
      </c>
      <c r="H48" s="93"/>
      <c r="I48" s="69">
        <v>6</v>
      </c>
      <c r="J48" s="69">
        <v>3</v>
      </c>
      <c r="K48" s="69">
        <v>18</v>
      </c>
      <c r="L48" s="130"/>
      <c r="M48" s="69"/>
      <c r="N48" s="133"/>
      <c r="O48" s="69">
        <v>20</v>
      </c>
      <c r="P48" s="156" t="s">
        <v>382</v>
      </c>
    </row>
    <row r="49" spans="1:16">
      <c r="A49" s="92" t="str">
        <f t="shared" ref="A49:A75" si="6">CONCATENATE(C49," ",D49," ",E49)</f>
        <v>Hi-Green Printempo 22-05-10+2MgO 25 kg</v>
      </c>
      <c r="B49" s="97" t="s">
        <v>146</v>
      </c>
      <c r="C49" s="98" t="s">
        <v>147</v>
      </c>
      <c r="D49" s="99" t="s">
        <v>148</v>
      </c>
      <c r="E49" s="99" t="s">
        <v>124</v>
      </c>
      <c r="F49" s="78">
        <f t="shared" ref="F49:F52" si="7">SUM(G49/25)</f>
        <v>72.8</v>
      </c>
      <c r="G49" s="57">
        <v>1820</v>
      </c>
      <c r="H49" s="68"/>
      <c r="I49" s="77">
        <v>22</v>
      </c>
      <c r="J49" s="69">
        <v>5</v>
      </c>
      <c r="K49" s="69">
        <v>10</v>
      </c>
      <c r="L49" s="69">
        <v>2</v>
      </c>
      <c r="M49" s="69"/>
      <c r="N49" s="69"/>
      <c r="O49" s="69">
        <v>25</v>
      </c>
      <c r="P49" s="157" t="s">
        <v>383</v>
      </c>
    </row>
    <row r="50" spans="1:16">
      <c r="A50" s="92" t="str">
        <f t="shared" si="6"/>
        <v>Hi-Green Autuno 13-00-17+6MgO 25 kg</v>
      </c>
      <c r="B50" s="97" t="s">
        <v>149</v>
      </c>
      <c r="C50" s="98" t="s">
        <v>150</v>
      </c>
      <c r="D50" s="99" t="s">
        <v>151</v>
      </c>
      <c r="E50" s="99" t="s">
        <v>124</v>
      </c>
      <c r="F50" s="78">
        <f t="shared" si="7"/>
        <v>67.599999999999994</v>
      </c>
      <c r="G50" s="57">
        <v>1690</v>
      </c>
      <c r="I50" s="77">
        <v>13</v>
      </c>
      <c r="J50" s="69">
        <v>0</v>
      </c>
      <c r="K50" s="69">
        <v>17</v>
      </c>
      <c r="L50" s="69">
        <v>6</v>
      </c>
      <c r="M50" s="69"/>
      <c r="N50" s="69"/>
      <c r="O50" s="69">
        <v>25</v>
      </c>
      <c r="P50" s="157" t="s">
        <v>383</v>
      </c>
    </row>
    <row r="51" spans="1:16">
      <c r="A51" s="92" t="str">
        <f t="shared" si="6"/>
        <v>Hi-Green Start 16-23-10+3MgO 25 kg</v>
      </c>
      <c r="B51" s="97" t="s">
        <v>152</v>
      </c>
      <c r="C51" s="98" t="s">
        <v>153</v>
      </c>
      <c r="D51" s="99" t="s">
        <v>154</v>
      </c>
      <c r="E51" s="99" t="s">
        <v>124</v>
      </c>
      <c r="F51" s="78">
        <f t="shared" si="7"/>
        <v>74</v>
      </c>
      <c r="G51" s="57">
        <v>1850</v>
      </c>
      <c r="I51" s="77">
        <v>16</v>
      </c>
      <c r="J51" s="69">
        <v>23</v>
      </c>
      <c r="K51" s="69">
        <v>10</v>
      </c>
      <c r="L51" s="69">
        <v>3</v>
      </c>
      <c r="M51" s="69"/>
      <c r="N51" s="69"/>
      <c r="O51" s="69">
        <v>25</v>
      </c>
      <c r="P51" s="157" t="s">
        <v>383</v>
      </c>
    </row>
    <row r="52" spans="1:16">
      <c r="A52" s="92" t="str">
        <f t="shared" si="6"/>
        <v>Hi-Green 15-05-25+2MgO 25 kg</v>
      </c>
      <c r="B52" s="97" t="s">
        <v>155</v>
      </c>
      <c r="C52" s="98" t="s">
        <v>156</v>
      </c>
      <c r="D52" s="99" t="s">
        <v>157</v>
      </c>
      <c r="E52" s="99" t="s">
        <v>124</v>
      </c>
      <c r="F52" s="78">
        <f t="shared" si="7"/>
        <v>79.2</v>
      </c>
      <c r="G52" s="57">
        <v>1980</v>
      </c>
      <c r="I52" s="77">
        <v>15</v>
      </c>
      <c r="J52" s="69">
        <v>5</v>
      </c>
      <c r="K52" s="69">
        <v>25</v>
      </c>
      <c r="L52" s="69">
        <v>2</v>
      </c>
      <c r="M52" s="69"/>
      <c r="N52" s="69"/>
      <c r="O52" s="69">
        <v>25</v>
      </c>
      <c r="P52" s="157" t="s">
        <v>383</v>
      </c>
    </row>
    <row r="53" spans="1:16">
      <c r="A53" s="92" t="str">
        <f t="shared" si="6"/>
        <v>MULTI-K - granulované 12-00-42+2MgO 25 kg</v>
      </c>
      <c r="B53" s="97" t="s">
        <v>158</v>
      </c>
      <c r="C53" s="98" t="s">
        <v>159</v>
      </c>
      <c r="D53" s="99" t="s">
        <v>381</v>
      </c>
      <c r="E53" s="99" t="s">
        <v>124</v>
      </c>
      <c r="F53" s="78">
        <v>74.48</v>
      </c>
      <c r="G53" s="57">
        <v>1862</v>
      </c>
      <c r="H53" s="81"/>
      <c r="I53" s="77">
        <v>12</v>
      </c>
      <c r="J53" s="69">
        <v>0</v>
      </c>
      <c r="K53" s="69">
        <v>42</v>
      </c>
      <c r="L53" s="69">
        <v>2</v>
      </c>
      <c r="M53" s="69"/>
      <c r="N53" s="69"/>
      <c r="O53" s="69">
        <v>25</v>
      </c>
      <c r="P53" s="157" t="s">
        <v>383</v>
      </c>
    </row>
    <row r="54" spans="1:16">
      <c r="A54" s="92" t="str">
        <f t="shared" si="6"/>
        <v>MULTI-K - krystalické 13-00-46+2MgO 25 kg</v>
      </c>
      <c r="B54" s="97" t="s">
        <v>160</v>
      </c>
      <c r="C54" s="98" t="s">
        <v>161</v>
      </c>
      <c r="D54" s="105" t="s">
        <v>162</v>
      </c>
      <c r="E54" s="99" t="s">
        <v>124</v>
      </c>
      <c r="F54" s="78">
        <v>54.32</v>
      </c>
      <c r="G54" s="57">
        <v>1358</v>
      </c>
      <c r="H54" s="81"/>
      <c r="I54" s="77">
        <v>13</v>
      </c>
      <c r="J54" s="69">
        <v>0</v>
      </c>
      <c r="K54" s="69">
        <v>46</v>
      </c>
      <c r="L54" s="69">
        <v>2</v>
      </c>
      <c r="M54" s="69"/>
      <c r="N54" s="69"/>
      <c r="O54" s="69">
        <v>25</v>
      </c>
      <c r="P54" s="157" t="s">
        <v>383</v>
      </c>
    </row>
    <row r="55" spans="1:16">
      <c r="A55" s="92" t="str">
        <f t="shared" si="6"/>
        <v>SIERRAFORM Pre seeder 18-22-05 20 kg</v>
      </c>
      <c r="B55" s="90" t="s">
        <v>163</v>
      </c>
      <c r="C55" s="85" t="s">
        <v>164</v>
      </c>
      <c r="D55" s="84" t="s">
        <v>165</v>
      </c>
      <c r="E55" s="84" t="s">
        <v>53</v>
      </c>
      <c r="F55" s="78">
        <v>108.95</v>
      </c>
      <c r="G55" s="55">
        <v>2179</v>
      </c>
      <c r="I55" s="77">
        <v>18</v>
      </c>
      <c r="J55" s="69">
        <v>22</v>
      </c>
      <c r="K55" s="69">
        <v>5</v>
      </c>
      <c r="L55" s="130"/>
      <c r="M55" s="69"/>
      <c r="N55" s="69"/>
      <c r="O55" s="69">
        <v>20</v>
      </c>
      <c r="P55" s="157" t="s">
        <v>383</v>
      </c>
    </row>
    <row r="56" spans="1:16">
      <c r="A56" s="92" t="str">
        <f t="shared" si="6"/>
        <v>SIERRAFORM Spring start 16-00-16 20 kg</v>
      </c>
      <c r="B56" s="90" t="s">
        <v>166</v>
      </c>
      <c r="C56" s="85" t="s">
        <v>167</v>
      </c>
      <c r="D56" s="84" t="s">
        <v>168</v>
      </c>
      <c r="E56" s="84" t="s">
        <v>53</v>
      </c>
      <c r="F56" s="78">
        <v>108.95</v>
      </c>
      <c r="G56" s="55">
        <v>2179</v>
      </c>
      <c r="I56" s="77">
        <v>16</v>
      </c>
      <c r="J56" s="69">
        <v>0</v>
      </c>
      <c r="K56" s="69">
        <v>16</v>
      </c>
      <c r="L56" s="130"/>
      <c r="M56" s="69"/>
      <c r="N56" s="69"/>
      <c r="O56" s="69">
        <v>20</v>
      </c>
      <c r="P56" s="157" t="s">
        <v>383</v>
      </c>
    </row>
    <row r="57" spans="1:16">
      <c r="A57" s="92" t="str">
        <f t="shared" si="6"/>
        <v>SIERRAFORM NK 19-00-19 20 kg</v>
      </c>
      <c r="B57" s="90" t="s">
        <v>169</v>
      </c>
      <c r="C57" s="85" t="s">
        <v>170</v>
      </c>
      <c r="D57" s="84" t="s">
        <v>171</v>
      </c>
      <c r="E57" s="84" t="s">
        <v>53</v>
      </c>
      <c r="F57" s="78">
        <v>109.4</v>
      </c>
      <c r="G57" s="55">
        <v>2188</v>
      </c>
      <c r="I57" s="77">
        <v>19</v>
      </c>
      <c r="J57" s="69">
        <v>0</v>
      </c>
      <c r="K57" s="69">
        <v>19</v>
      </c>
      <c r="L57" s="130"/>
      <c r="M57" s="69"/>
      <c r="N57" s="69"/>
      <c r="O57" s="69">
        <v>20</v>
      </c>
      <c r="P57" s="157" t="s">
        <v>383</v>
      </c>
    </row>
    <row r="58" spans="1:16">
      <c r="A58" s="92" t="str">
        <f t="shared" si="6"/>
        <v>SIERRAFORM Momentum 22-05-11 20 kg</v>
      </c>
      <c r="B58" s="90" t="s">
        <v>172</v>
      </c>
      <c r="C58" s="85" t="s">
        <v>173</v>
      </c>
      <c r="D58" s="84" t="s">
        <v>174</v>
      </c>
      <c r="E58" s="84" t="s">
        <v>53</v>
      </c>
      <c r="F58" s="78">
        <v>106.75</v>
      </c>
      <c r="G58" s="55">
        <v>2135</v>
      </c>
      <c r="I58" s="77">
        <v>22</v>
      </c>
      <c r="J58" s="69">
        <v>5</v>
      </c>
      <c r="K58" s="69">
        <v>11</v>
      </c>
      <c r="L58" s="130"/>
      <c r="M58" s="69"/>
      <c r="N58" s="69"/>
      <c r="O58" s="69">
        <v>20</v>
      </c>
      <c r="P58" s="157" t="s">
        <v>383</v>
      </c>
    </row>
    <row r="59" spans="1:16">
      <c r="A59" s="92" t="str">
        <f t="shared" si="6"/>
        <v>SIERRAFORM All season 18-06-18 20 kg</v>
      </c>
      <c r="B59" s="90" t="s">
        <v>175</v>
      </c>
      <c r="C59" s="85" t="s">
        <v>176</v>
      </c>
      <c r="D59" s="84" t="s">
        <v>177</v>
      </c>
      <c r="E59" s="84" t="s">
        <v>53</v>
      </c>
      <c r="F59" s="78">
        <v>108.3</v>
      </c>
      <c r="G59" s="55">
        <v>2166</v>
      </c>
      <c r="I59" s="77">
        <v>18</v>
      </c>
      <c r="J59" s="69">
        <v>6</v>
      </c>
      <c r="K59" s="69">
        <v>18</v>
      </c>
      <c r="L59" s="130"/>
      <c r="M59" s="69"/>
      <c r="N59" s="69"/>
      <c r="O59" s="69">
        <v>20</v>
      </c>
      <c r="P59" s="157" t="s">
        <v>383</v>
      </c>
    </row>
    <row r="60" spans="1:16">
      <c r="A60" s="92" t="str">
        <f t="shared" si="6"/>
        <v>SIERRAFORM Anti stress 15-00-26 20 kg</v>
      </c>
      <c r="B60" s="90" t="s">
        <v>178</v>
      </c>
      <c r="C60" s="85" t="s">
        <v>179</v>
      </c>
      <c r="D60" s="84" t="s">
        <v>180</v>
      </c>
      <c r="E60" s="84" t="s">
        <v>53</v>
      </c>
      <c r="F60" s="78">
        <v>122.25</v>
      </c>
      <c r="G60" s="55">
        <v>2445</v>
      </c>
      <c r="I60" s="77">
        <v>15</v>
      </c>
      <c r="J60" s="69">
        <v>0</v>
      </c>
      <c r="K60" s="69">
        <v>26</v>
      </c>
      <c r="L60" s="130"/>
      <c r="M60" s="69"/>
      <c r="N60" s="69"/>
      <c r="O60" s="69">
        <v>20</v>
      </c>
      <c r="P60" s="157" t="s">
        <v>383</v>
      </c>
    </row>
    <row r="61" spans="1:16">
      <c r="A61" s="92" t="str">
        <f t="shared" si="6"/>
        <v>SIERRAFORM K-step 06-00-27 20 kg</v>
      </c>
      <c r="B61" s="90" t="s">
        <v>181</v>
      </c>
      <c r="C61" s="85" t="s">
        <v>182</v>
      </c>
      <c r="D61" s="84" t="s">
        <v>183</v>
      </c>
      <c r="E61" s="84" t="s">
        <v>53</v>
      </c>
      <c r="F61" s="78">
        <v>127.9</v>
      </c>
      <c r="G61" s="55">
        <v>2558</v>
      </c>
      <c r="I61" s="77">
        <v>6</v>
      </c>
      <c r="J61" s="69">
        <v>0</v>
      </c>
      <c r="K61" s="69">
        <v>27</v>
      </c>
      <c r="L61" s="130"/>
      <c r="M61" s="69"/>
      <c r="N61" s="69"/>
      <c r="O61" s="69">
        <v>20</v>
      </c>
      <c r="P61" s="157" t="s">
        <v>383</v>
      </c>
    </row>
    <row r="62" spans="1:16">
      <c r="A62" s="92" t="str">
        <f t="shared" si="6"/>
        <v>STEP HI-Mag 8Fe-20MgO 20 kg</v>
      </c>
      <c r="B62" s="90" t="s">
        <v>184</v>
      </c>
      <c r="C62" s="85" t="s">
        <v>185</v>
      </c>
      <c r="D62" s="84" t="s">
        <v>186</v>
      </c>
      <c r="E62" s="84" t="s">
        <v>53</v>
      </c>
      <c r="F62" s="78">
        <f t="shared" ref="F62" si="8">SUM(G62/20)</f>
        <v>107</v>
      </c>
      <c r="G62" s="51">
        <v>2140</v>
      </c>
      <c r="I62" s="77"/>
      <c r="J62" s="130"/>
      <c r="K62" s="69"/>
      <c r="L62" s="69">
        <v>20</v>
      </c>
      <c r="M62" s="69">
        <v>8</v>
      </c>
      <c r="N62" s="69"/>
      <c r="O62" s="69">
        <v>20</v>
      </c>
      <c r="P62" s="157" t="s">
        <v>383</v>
      </c>
    </row>
    <row r="63" spans="1:16">
      <c r="A63" s="92" t="str">
        <f t="shared" si="6"/>
        <v>Greenmaster ProLite Spring&amp;Summer 14-05-10+2MgO 25 kg</v>
      </c>
      <c r="B63" s="90" t="s">
        <v>187</v>
      </c>
      <c r="C63" s="85" t="s">
        <v>188</v>
      </c>
      <c r="D63" s="84" t="s">
        <v>189</v>
      </c>
      <c r="E63" s="84" t="s">
        <v>124</v>
      </c>
      <c r="F63" s="78">
        <f t="shared" ref="F63:F68" si="9">SUM(G63/25)</f>
        <v>67.2</v>
      </c>
      <c r="G63" s="51">
        <v>1680</v>
      </c>
      <c r="I63" s="77">
        <v>14</v>
      </c>
      <c r="J63" s="69">
        <v>5</v>
      </c>
      <c r="K63" s="69">
        <v>10</v>
      </c>
      <c r="L63" s="69">
        <v>2</v>
      </c>
      <c r="M63" s="69"/>
      <c r="N63" s="69"/>
      <c r="O63" s="69">
        <v>25</v>
      </c>
      <c r="P63" s="157" t="s">
        <v>383</v>
      </c>
    </row>
    <row r="64" spans="1:16">
      <c r="A64" s="92" t="str">
        <f t="shared" si="6"/>
        <v>Greenmaster ProLite Zero Phos 14-00-10+3,4MgO 25 kg</v>
      </c>
      <c r="B64" s="90" t="s">
        <v>190</v>
      </c>
      <c r="C64" s="85" t="s">
        <v>191</v>
      </c>
      <c r="D64" s="84" t="s">
        <v>192</v>
      </c>
      <c r="E64" s="84" t="s">
        <v>124</v>
      </c>
      <c r="F64" s="78">
        <f t="shared" si="9"/>
        <v>61.2</v>
      </c>
      <c r="G64" s="51">
        <v>1530</v>
      </c>
      <c r="I64" s="77">
        <v>14</v>
      </c>
      <c r="J64" s="69">
        <v>0</v>
      </c>
      <c r="K64" s="69">
        <v>10</v>
      </c>
      <c r="L64" s="69">
        <v>3.4</v>
      </c>
      <c r="M64" s="69"/>
      <c r="N64" s="69"/>
      <c r="O64" s="69">
        <v>25</v>
      </c>
      <c r="P64" s="157" t="s">
        <v>383</v>
      </c>
    </row>
    <row r="65" spans="1:16">
      <c r="A65" s="92" t="str">
        <f t="shared" si="6"/>
        <v>Greenmaster ProLite NK 12-00-12+3MgO 25 kg</v>
      </c>
      <c r="B65" s="90" t="s">
        <v>193</v>
      </c>
      <c r="C65" s="85" t="s">
        <v>25</v>
      </c>
      <c r="D65" s="84" t="s">
        <v>194</v>
      </c>
      <c r="E65" s="84" t="s">
        <v>124</v>
      </c>
      <c r="F65" s="78">
        <f t="shared" si="9"/>
        <v>62.6</v>
      </c>
      <c r="G65" s="51">
        <v>1565</v>
      </c>
      <c r="I65" s="77">
        <v>12</v>
      </c>
      <c r="J65" s="69">
        <v>0</v>
      </c>
      <c r="K65" s="69">
        <v>12</v>
      </c>
      <c r="L65" s="69">
        <v>3</v>
      </c>
      <c r="M65" s="69"/>
      <c r="N65" s="69"/>
      <c r="O65" s="69">
        <v>25</v>
      </c>
      <c r="P65" s="157" t="s">
        <v>383</v>
      </c>
    </row>
    <row r="66" spans="1:16">
      <c r="A66" s="92" t="str">
        <f t="shared" si="6"/>
        <v>Greenmaster ProLite Double K 07-00-14+4Fe 25 kg</v>
      </c>
      <c r="B66" s="90" t="s">
        <v>195</v>
      </c>
      <c r="C66" s="85" t="s">
        <v>23</v>
      </c>
      <c r="D66" s="84" t="s">
        <v>196</v>
      </c>
      <c r="E66" s="84" t="s">
        <v>124</v>
      </c>
      <c r="F66" s="78">
        <f t="shared" si="9"/>
        <v>62.4</v>
      </c>
      <c r="G66" s="51">
        <v>1560</v>
      </c>
      <c r="I66" s="77">
        <v>7</v>
      </c>
      <c r="J66" s="69">
        <v>0</v>
      </c>
      <c r="K66" s="69">
        <v>14</v>
      </c>
      <c r="L66" s="130"/>
      <c r="M66" s="69">
        <v>4</v>
      </c>
      <c r="N66" s="69"/>
      <c r="O66" s="69">
        <v>25</v>
      </c>
      <c r="P66" s="157" t="s">
        <v>383</v>
      </c>
    </row>
    <row r="67" spans="1:16">
      <c r="A67" s="92" t="str">
        <f t="shared" si="6"/>
        <v>Greenmaster ProLite Autumn 06-05-10+6Fe 25 kg</v>
      </c>
      <c r="B67" s="90" t="s">
        <v>197</v>
      </c>
      <c r="C67" s="85" t="s">
        <v>24</v>
      </c>
      <c r="D67" s="84" t="s">
        <v>198</v>
      </c>
      <c r="E67" s="84" t="s">
        <v>124</v>
      </c>
      <c r="F67" s="78">
        <f t="shared" si="9"/>
        <v>62.4</v>
      </c>
      <c r="G67" s="51">
        <v>1560</v>
      </c>
      <c r="I67" s="77">
        <v>6</v>
      </c>
      <c r="J67" s="69">
        <v>5</v>
      </c>
      <c r="K67" s="69">
        <v>10</v>
      </c>
      <c r="L67" s="130"/>
      <c r="M67" s="69">
        <v>6</v>
      </c>
      <c r="N67" s="69"/>
      <c r="O67" s="69">
        <v>25</v>
      </c>
      <c r="P67" s="157" t="s">
        <v>383</v>
      </c>
    </row>
    <row r="68" spans="1:16">
      <c r="A68" s="92" t="str">
        <f t="shared" si="6"/>
        <v>Greenmaster Cold Start 11-05-05+8Fe 25 kg</v>
      </c>
      <c r="B68" s="90" t="s">
        <v>199</v>
      </c>
      <c r="C68" s="85" t="s">
        <v>200</v>
      </c>
      <c r="D68" s="84" t="s">
        <v>201</v>
      </c>
      <c r="E68" s="84" t="s">
        <v>124</v>
      </c>
      <c r="F68" s="78">
        <f t="shared" si="9"/>
        <v>64.400000000000006</v>
      </c>
      <c r="G68" s="51">
        <v>1610</v>
      </c>
      <c r="I68" s="77">
        <v>11</v>
      </c>
      <c r="J68" s="69">
        <v>5</v>
      </c>
      <c r="K68" s="69">
        <v>5</v>
      </c>
      <c r="L68" s="130"/>
      <c r="M68" s="69">
        <v>8</v>
      </c>
      <c r="N68" s="69"/>
      <c r="O68" s="69">
        <v>25</v>
      </c>
      <c r="P68" s="157" t="s">
        <v>383</v>
      </c>
    </row>
    <row r="69" spans="1:16">
      <c r="A69" s="92" t="str">
        <f t="shared" si="6"/>
        <v>Greenmaster Liquid Step stopové prvky 10 l</v>
      </c>
      <c r="B69" s="90" t="s">
        <v>202</v>
      </c>
      <c r="C69" s="85" t="s">
        <v>203</v>
      </c>
      <c r="D69" s="84" t="s">
        <v>204</v>
      </c>
      <c r="E69" s="84" t="s">
        <v>205</v>
      </c>
      <c r="F69" s="78">
        <f>SUM(G69/10)</f>
        <v>194</v>
      </c>
      <c r="G69" s="51">
        <v>1940</v>
      </c>
      <c r="I69" s="77"/>
      <c r="J69" s="130"/>
      <c r="K69" s="69"/>
      <c r="L69" s="130"/>
      <c r="M69" s="69"/>
      <c r="N69" s="69"/>
      <c r="O69" s="69">
        <v>10</v>
      </c>
      <c r="P69" s="157" t="s">
        <v>383</v>
      </c>
    </row>
    <row r="70" spans="1:16">
      <c r="A70" s="92" t="str">
        <f t="shared" si="6"/>
        <v>Greenmaster Liquid Ca-Booster 08-00-00+9CaO 10 l</v>
      </c>
      <c r="B70" s="90" t="s">
        <v>206</v>
      </c>
      <c r="C70" s="85" t="s">
        <v>207</v>
      </c>
      <c r="D70" s="84" t="s">
        <v>208</v>
      </c>
      <c r="E70" s="84" t="s">
        <v>205</v>
      </c>
      <c r="F70" s="78">
        <f>SUM(G70/10)</f>
        <v>86</v>
      </c>
      <c r="G70" s="51">
        <v>860</v>
      </c>
      <c r="I70" s="77">
        <v>8</v>
      </c>
      <c r="J70" s="69">
        <v>0</v>
      </c>
      <c r="K70" s="69">
        <v>0</v>
      </c>
      <c r="L70" s="130"/>
      <c r="M70" s="69"/>
      <c r="N70" s="69"/>
      <c r="O70" s="69">
        <v>10</v>
      </c>
      <c r="P70" s="157" t="s">
        <v>383</v>
      </c>
    </row>
    <row r="71" spans="1:16">
      <c r="A71" s="92" t="str">
        <f t="shared" si="6"/>
        <v>Sportsmaster mini High N 24-05-11 25 kg</v>
      </c>
      <c r="B71" s="90" t="s">
        <v>209</v>
      </c>
      <c r="C71" s="85" t="s">
        <v>210</v>
      </c>
      <c r="D71" s="90" t="s">
        <v>211</v>
      </c>
      <c r="E71" s="84" t="s">
        <v>124</v>
      </c>
      <c r="F71" s="78">
        <f>SUM(G71/25)</f>
        <v>62.6</v>
      </c>
      <c r="G71" s="51">
        <v>1565</v>
      </c>
      <c r="I71" s="77">
        <v>24</v>
      </c>
      <c r="J71" s="69">
        <v>5</v>
      </c>
      <c r="K71" s="69">
        <v>11</v>
      </c>
      <c r="L71" s="130"/>
      <c r="M71" s="69"/>
      <c r="N71" s="69"/>
      <c r="O71" s="69">
        <v>25</v>
      </c>
      <c r="P71" s="157" t="s">
        <v>383</v>
      </c>
    </row>
    <row r="72" spans="1:16">
      <c r="A72" s="92" t="str">
        <f t="shared" si="6"/>
        <v>Sportsmaster mini Start 19-19-05+2MgO+TE 25 kg</v>
      </c>
      <c r="B72" s="90" t="s">
        <v>212</v>
      </c>
      <c r="C72" s="85" t="s">
        <v>213</v>
      </c>
      <c r="D72" s="90" t="s">
        <v>214</v>
      </c>
      <c r="E72" s="84" t="s">
        <v>124</v>
      </c>
      <c r="F72" s="78">
        <f>SUM(G72/25)</f>
        <v>66.319999999999993</v>
      </c>
      <c r="G72" s="51">
        <v>1658</v>
      </c>
      <c r="I72" s="77">
        <v>19</v>
      </c>
      <c r="J72" s="69">
        <v>19</v>
      </c>
      <c r="K72" s="69">
        <v>5</v>
      </c>
      <c r="L72" s="69">
        <v>2</v>
      </c>
      <c r="M72" s="69"/>
      <c r="N72" s="69"/>
      <c r="O72" s="69">
        <v>25</v>
      </c>
      <c r="P72" s="157" t="s">
        <v>383</v>
      </c>
    </row>
    <row r="73" spans="1:16">
      <c r="A73" s="92" t="str">
        <f t="shared" si="6"/>
        <v>Sportsmaster mini Active 15-05-15+2CaO+MgO 25 kg</v>
      </c>
      <c r="B73" s="90" t="s">
        <v>215</v>
      </c>
      <c r="C73" s="85" t="s">
        <v>216</v>
      </c>
      <c r="D73" s="106" t="s">
        <v>217</v>
      </c>
      <c r="E73" s="84" t="s">
        <v>124</v>
      </c>
      <c r="F73" s="78">
        <f>SUM(G73/25)</f>
        <v>63.2</v>
      </c>
      <c r="G73" s="51">
        <v>1580</v>
      </c>
      <c r="I73" s="77">
        <v>15</v>
      </c>
      <c r="J73" s="69">
        <v>5</v>
      </c>
      <c r="K73" s="69">
        <v>15</v>
      </c>
      <c r="L73" s="69">
        <v>1</v>
      </c>
      <c r="M73" s="69"/>
      <c r="N73" s="69"/>
      <c r="O73" s="69">
        <v>25</v>
      </c>
      <c r="P73" s="157" t="s">
        <v>383</v>
      </c>
    </row>
    <row r="74" spans="1:16">
      <c r="A74" s="92" t="str">
        <f t="shared" si="6"/>
        <v>Sportsmaster mini Permanent 17-07-16+2MgO+Fe 25 kg</v>
      </c>
      <c r="B74" s="90" t="s">
        <v>218</v>
      </c>
      <c r="C74" s="85" t="s">
        <v>219</v>
      </c>
      <c r="D74" s="84" t="s">
        <v>220</v>
      </c>
      <c r="E74" s="84" t="s">
        <v>124</v>
      </c>
      <c r="F74" s="78">
        <f>SUM(G74/25)</f>
        <v>62.4</v>
      </c>
      <c r="G74" s="51">
        <v>1560</v>
      </c>
      <c r="I74" s="77">
        <v>17</v>
      </c>
      <c r="J74" s="69">
        <v>7</v>
      </c>
      <c r="K74" s="69">
        <v>16</v>
      </c>
      <c r="L74" s="69">
        <v>2</v>
      </c>
      <c r="M74" s="69">
        <v>1</v>
      </c>
      <c r="N74" s="69"/>
      <c r="O74" s="69">
        <v>25</v>
      </c>
      <c r="P74" s="157" t="s">
        <v>383</v>
      </c>
    </row>
    <row r="75" spans="1:16">
      <c r="A75" s="92" t="str">
        <f t="shared" si="6"/>
        <v>Sportsmaster mini High K 13-05-20+2MgO 25 kg</v>
      </c>
      <c r="B75" s="90" t="s">
        <v>221</v>
      </c>
      <c r="C75" s="85" t="s">
        <v>222</v>
      </c>
      <c r="D75" s="84" t="s">
        <v>223</v>
      </c>
      <c r="E75" s="84" t="s">
        <v>124</v>
      </c>
      <c r="F75" s="78">
        <v>60</v>
      </c>
      <c r="G75" s="51">
        <v>1500</v>
      </c>
      <c r="I75" s="77">
        <v>13</v>
      </c>
      <c r="J75" s="69">
        <v>5</v>
      </c>
      <c r="K75" s="69">
        <v>20</v>
      </c>
      <c r="L75" s="69">
        <v>2</v>
      </c>
      <c r="M75" s="69"/>
      <c r="N75" s="69"/>
      <c r="O75" s="69">
        <v>25</v>
      </c>
      <c r="P75" s="157" t="s">
        <v>383</v>
      </c>
    </row>
    <row r="76" spans="1:16">
      <c r="A76" s="92" t="str">
        <f t="shared" ref="A76:A92" si="10">CONCATENATE(C76," ",D76," ",E76)</f>
        <v>Universol Zelený  23-06-10+2,7MgO+ME 25 kg</v>
      </c>
      <c r="B76" s="91" t="s">
        <v>224</v>
      </c>
      <c r="C76" s="107" t="s">
        <v>225</v>
      </c>
      <c r="D76" s="69" t="s">
        <v>226</v>
      </c>
      <c r="E76" s="69" t="s">
        <v>124</v>
      </c>
      <c r="F76" s="78">
        <f t="shared" ref="F76:F84" si="11">SUM(G76/25)</f>
        <v>54.2</v>
      </c>
      <c r="G76" s="51">
        <v>1355</v>
      </c>
      <c r="I76" s="77">
        <v>23</v>
      </c>
      <c r="J76" s="69">
        <v>6</v>
      </c>
      <c r="K76" s="69">
        <v>10</v>
      </c>
      <c r="L76" s="69">
        <v>2.7</v>
      </c>
      <c r="M76" s="130"/>
      <c r="N76" s="69"/>
      <c r="O76" s="69">
        <v>25</v>
      </c>
      <c r="P76" s="158" t="s">
        <v>384</v>
      </c>
    </row>
    <row r="77" spans="1:16">
      <c r="A77" s="92" t="str">
        <f t="shared" si="10"/>
        <v>Universol Fialový  10-10-30+3,3MgO+ME 25 kg</v>
      </c>
      <c r="B77" s="91" t="s">
        <v>227</v>
      </c>
      <c r="C77" s="92" t="s">
        <v>228</v>
      </c>
      <c r="D77" s="69" t="s">
        <v>229</v>
      </c>
      <c r="E77" s="69" t="s">
        <v>124</v>
      </c>
      <c r="F77" s="78">
        <f t="shared" si="11"/>
        <v>69.8</v>
      </c>
      <c r="G77" s="51">
        <v>1745</v>
      </c>
      <c r="I77" s="69">
        <v>10</v>
      </c>
      <c r="J77" s="69">
        <v>10</v>
      </c>
      <c r="K77" s="69">
        <v>30</v>
      </c>
      <c r="L77" s="69">
        <v>3.3</v>
      </c>
      <c r="M77" s="69"/>
      <c r="N77" s="69"/>
      <c r="O77" s="69">
        <v>25</v>
      </c>
      <c r="P77" s="158" t="s">
        <v>384</v>
      </c>
    </row>
    <row r="78" spans="1:16">
      <c r="A78" s="92" t="str">
        <f t="shared" si="10"/>
        <v>Universol Modrý  18-11-18+2,5MgO+ME 25 kg</v>
      </c>
      <c r="B78" s="91" t="s">
        <v>230</v>
      </c>
      <c r="C78" s="92" t="s">
        <v>231</v>
      </c>
      <c r="D78" s="69" t="s">
        <v>232</v>
      </c>
      <c r="E78" s="69" t="s">
        <v>124</v>
      </c>
      <c r="F78" s="78">
        <f t="shared" si="11"/>
        <v>59.2</v>
      </c>
      <c r="G78" s="51">
        <v>1480</v>
      </c>
      <c r="I78" s="69">
        <v>18</v>
      </c>
      <c r="J78" s="69">
        <v>11</v>
      </c>
      <c r="K78" s="69">
        <v>18</v>
      </c>
      <c r="L78" s="69">
        <v>2.5</v>
      </c>
      <c r="M78" s="69"/>
      <c r="N78" s="69"/>
      <c r="O78" s="69">
        <v>25</v>
      </c>
      <c r="P78" s="158" t="s">
        <v>384</v>
      </c>
    </row>
    <row r="79" spans="1:16">
      <c r="A79" s="92" t="str">
        <f t="shared" si="10"/>
        <v>Universol Oranžový  16-05-25+3,4MgO+ME 25 kg</v>
      </c>
      <c r="B79" s="91" t="s">
        <v>233</v>
      </c>
      <c r="C79" s="92" t="s">
        <v>234</v>
      </c>
      <c r="D79" s="69" t="s">
        <v>235</v>
      </c>
      <c r="E79" s="69" t="s">
        <v>124</v>
      </c>
      <c r="F79" s="78">
        <f t="shared" si="11"/>
        <v>64.8</v>
      </c>
      <c r="G79" s="51">
        <v>1620</v>
      </c>
      <c r="I79" s="69">
        <v>16</v>
      </c>
      <c r="J79" s="69">
        <v>5</v>
      </c>
      <c r="K79" s="69">
        <v>25</v>
      </c>
      <c r="L79" s="69">
        <v>3.4</v>
      </c>
      <c r="M79" s="69"/>
      <c r="N79" s="69"/>
      <c r="O79" s="69">
        <v>25</v>
      </c>
      <c r="P79" s="158" t="s">
        <v>384</v>
      </c>
    </row>
    <row r="80" spans="1:16">
      <c r="A80" s="92" t="str">
        <f t="shared" si="10"/>
        <v>Universol Základní  04-19-35+4,1MgO+ME 25 kg</v>
      </c>
      <c r="B80" s="91" t="s">
        <v>236</v>
      </c>
      <c r="C80" s="92" t="s">
        <v>237</v>
      </c>
      <c r="D80" s="69" t="s">
        <v>238</v>
      </c>
      <c r="E80" s="69" t="s">
        <v>124</v>
      </c>
      <c r="F80" s="78">
        <f t="shared" si="11"/>
        <v>81.2</v>
      </c>
      <c r="G80" s="51">
        <v>2030</v>
      </c>
      <c r="I80" s="69">
        <v>4</v>
      </c>
      <c r="J80" s="69">
        <v>19</v>
      </c>
      <c r="K80" s="69">
        <v>35</v>
      </c>
      <c r="L80" s="69">
        <v>4.0999999999999996</v>
      </c>
      <c r="M80" s="69"/>
      <c r="N80" s="69"/>
      <c r="O80" s="69">
        <v>25</v>
      </c>
      <c r="P80" s="158" t="s">
        <v>384</v>
      </c>
    </row>
    <row r="81" spans="1:18">
      <c r="A81" s="92" t="str">
        <f t="shared" si="10"/>
        <v>Universol Special 09-00-39+3,5MgO+ME 25 kg</v>
      </c>
      <c r="B81" s="91" t="s">
        <v>239</v>
      </c>
      <c r="C81" s="92" t="s">
        <v>240</v>
      </c>
      <c r="D81" s="69" t="s">
        <v>241</v>
      </c>
      <c r="E81" s="69" t="s">
        <v>124</v>
      </c>
      <c r="F81" s="78">
        <f t="shared" si="11"/>
        <v>72.2</v>
      </c>
      <c r="G81" s="51">
        <v>1805</v>
      </c>
      <c r="I81" s="69">
        <v>9</v>
      </c>
      <c r="J81" s="69">
        <v>0</v>
      </c>
      <c r="K81" s="69">
        <v>39</v>
      </c>
      <c r="L81" s="69">
        <v>3.5</v>
      </c>
      <c r="M81" s="69"/>
      <c r="N81" s="69"/>
      <c r="O81" s="69">
        <v>25</v>
      </c>
      <c r="P81" s="158" t="s">
        <v>384</v>
      </c>
    </row>
    <row r="82" spans="1:18">
      <c r="A82" s="92" t="str">
        <f t="shared" si="10"/>
        <v>Universol Žlutý  12-30-12+2,2MgO+ME 25 kg</v>
      </c>
      <c r="B82" s="91" t="s">
        <v>242</v>
      </c>
      <c r="C82" s="92" t="s">
        <v>399</v>
      </c>
      <c r="D82" s="69" t="s">
        <v>243</v>
      </c>
      <c r="E82" s="69" t="s">
        <v>124</v>
      </c>
      <c r="F82" s="78">
        <f t="shared" si="11"/>
        <v>79.400000000000006</v>
      </c>
      <c r="G82" s="51">
        <v>1985</v>
      </c>
      <c r="I82" s="69">
        <v>12</v>
      </c>
      <c r="J82" s="69">
        <v>30</v>
      </c>
      <c r="K82" s="69">
        <v>12</v>
      </c>
      <c r="L82" s="69">
        <v>2.2000000000000002</v>
      </c>
      <c r="M82" s="69"/>
      <c r="N82" s="69"/>
      <c r="O82" s="69">
        <v>25</v>
      </c>
      <c r="P82" s="158" t="s">
        <v>384</v>
      </c>
    </row>
    <row r="83" spans="1:18">
      <c r="A83" s="92" t="str">
        <f t="shared" si="10"/>
        <v>Universol Bílý   15-00-19-2MgO+9CaO+ME 25 kg</v>
      </c>
      <c r="B83" s="91" t="s">
        <v>244</v>
      </c>
      <c r="C83" s="92" t="s">
        <v>400</v>
      </c>
      <c r="D83" s="69" t="s">
        <v>388</v>
      </c>
      <c r="E83" s="69" t="s">
        <v>124</v>
      </c>
      <c r="F83" s="78">
        <f t="shared" si="11"/>
        <v>68.8</v>
      </c>
      <c r="G83" s="51">
        <v>1720</v>
      </c>
      <c r="I83" s="69">
        <v>15</v>
      </c>
      <c r="J83" s="69">
        <v>0</v>
      </c>
      <c r="K83" s="69">
        <v>19</v>
      </c>
      <c r="L83" s="69">
        <v>2</v>
      </c>
      <c r="M83" s="69"/>
      <c r="N83" s="69"/>
      <c r="O83" s="69">
        <v>25</v>
      </c>
      <c r="P83" s="158" t="s">
        <v>384</v>
      </c>
    </row>
    <row r="84" spans="1:18">
      <c r="A84" s="92" t="str">
        <f t="shared" si="10"/>
        <v>Universol HW pH Control 12-10-28+2MgO+ME 25 kg</v>
      </c>
      <c r="B84" s="91" t="s">
        <v>245</v>
      </c>
      <c r="C84" s="92" t="s">
        <v>401</v>
      </c>
      <c r="D84" s="69" t="s">
        <v>246</v>
      </c>
      <c r="E84" s="69" t="s">
        <v>124</v>
      </c>
      <c r="F84" s="78">
        <f t="shared" si="11"/>
        <v>81</v>
      </c>
      <c r="G84" s="51">
        <v>2025</v>
      </c>
      <c r="I84" s="69">
        <v>12</v>
      </c>
      <c r="J84" s="69">
        <v>10</v>
      </c>
      <c r="K84" s="69">
        <v>28</v>
      </c>
      <c r="L84" s="69">
        <v>2</v>
      </c>
      <c r="M84" s="69"/>
      <c r="N84" s="69"/>
      <c r="O84" s="69">
        <v>25</v>
      </c>
      <c r="P84" s="158" t="s">
        <v>384</v>
      </c>
    </row>
    <row r="85" spans="1:18">
      <c r="A85" s="92" t="str">
        <f t="shared" si="10"/>
        <v>Polyfeed Concerto  18-18-18+2MgO+ME 25 kg</v>
      </c>
      <c r="B85" s="91" t="s">
        <v>247</v>
      </c>
      <c r="C85" s="92" t="s">
        <v>248</v>
      </c>
      <c r="D85" s="69" t="s">
        <v>249</v>
      </c>
      <c r="E85" s="69" t="s">
        <v>124</v>
      </c>
      <c r="F85" s="78">
        <f t="shared" ref="F85:F92" si="12">SUM(G85/25)</f>
        <v>60.6</v>
      </c>
      <c r="G85" s="51">
        <v>1515</v>
      </c>
      <c r="I85" s="69">
        <v>18</v>
      </c>
      <c r="J85" s="69">
        <v>18</v>
      </c>
      <c r="K85" s="69">
        <v>18</v>
      </c>
      <c r="L85" s="69">
        <v>2</v>
      </c>
      <c r="M85" s="69"/>
      <c r="N85" s="69"/>
      <c r="O85" s="69">
        <v>25</v>
      </c>
      <c r="P85" s="158" t="s">
        <v>384</v>
      </c>
    </row>
    <row r="86" spans="1:18">
      <c r="A86" s="92" t="str">
        <f t="shared" si="10"/>
        <v>Polyfeed Menuet 20-05-20+3MgO+ME 25 kg</v>
      </c>
      <c r="B86" s="91" t="s">
        <v>250</v>
      </c>
      <c r="C86" s="92" t="s">
        <v>251</v>
      </c>
      <c r="D86" s="69" t="s">
        <v>252</v>
      </c>
      <c r="E86" s="69" t="s">
        <v>124</v>
      </c>
      <c r="F86" s="78">
        <f t="shared" si="12"/>
        <v>53.6</v>
      </c>
      <c r="G86" s="51">
        <v>1340</v>
      </c>
      <c r="I86" s="69">
        <v>20</v>
      </c>
      <c r="J86" s="69">
        <v>5</v>
      </c>
      <c r="K86" s="69">
        <v>20</v>
      </c>
      <c r="L86" s="69">
        <v>3</v>
      </c>
      <c r="M86" s="69"/>
      <c r="N86" s="69"/>
      <c r="O86" s="69">
        <v>25</v>
      </c>
      <c r="P86" s="158" t="s">
        <v>384</v>
      </c>
    </row>
    <row r="87" spans="1:18">
      <c r="A87" s="92" t="str">
        <f t="shared" si="10"/>
        <v>Polyfeed Sonate  15-05-30+3MgO+ME 25 kg</v>
      </c>
      <c r="B87" s="91" t="s">
        <v>253</v>
      </c>
      <c r="C87" s="92" t="s">
        <v>254</v>
      </c>
      <c r="D87" s="69" t="s">
        <v>255</v>
      </c>
      <c r="E87" s="69" t="s">
        <v>124</v>
      </c>
      <c r="F87" s="78">
        <f t="shared" si="12"/>
        <v>59.8</v>
      </c>
      <c r="G87" s="51">
        <v>1495</v>
      </c>
      <c r="I87" s="69">
        <v>15</v>
      </c>
      <c r="J87" s="69">
        <v>5</v>
      </c>
      <c r="K87" s="69">
        <v>30</v>
      </c>
      <c r="L87" s="69">
        <v>3</v>
      </c>
      <c r="M87" s="69"/>
      <c r="N87" s="69"/>
      <c r="O87" s="69">
        <v>25</v>
      </c>
      <c r="P87" s="158" t="s">
        <v>384</v>
      </c>
    </row>
    <row r="88" spans="1:18">
      <c r="A88" s="92" t="str">
        <f t="shared" si="10"/>
        <v>Polyfeed Ballade  12-12-36+1MgO+ME 25 kg</v>
      </c>
      <c r="B88" s="91" t="s">
        <v>256</v>
      </c>
      <c r="C88" s="92" t="s">
        <v>257</v>
      </c>
      <c r="D88" s="69" t="s">
        <v>258</v>
      </c>
      <c r="E88" s="69" t="s">
        <v>124</v>
      </c>
      <c r="F88" s="78">
        <f t="shared" si="12"/>
        <v>70.599999999999994</v>
      </c>
      <c r="G88" s="51">
        <v>1765</v>
      </c>
      <c r="I88" s="69">
        <v>12</v>
      </c>
      <c r="J88" s="69">
        <v>12</v>
      </c>
      <c r="K88" s="69">
        <v>36</v>
      </c>
      <c r="L88" s="69">
        <v>1</v>
      </c>
      <c r="M88" s="69"/>
      <c r="N88" s="69"/>
      <c r="O88" s="69">
        <v>25</v>
      </c>
      <c r="P88" s="158" t="s">
        <v>384</v>
      </c>
    </row>
    <row r="89" spans="1:18">
      <c r="A89" s="92" t="str">
        <f t="shared" si="10"/>
        <v>Polyfeed Aria  23-05-11+2MgO+ME 25 kg</v>
      </c>
      <c r="B89" s="91" t="s">
        <v>259</v>
      </c>
      <c r="C89" s="92" t="s">
        <v>260</v>
      </c>
      <c r="D89" s="69" t="s">
        <v>261</v>
      </c>
      <c r="E89" s="69" t="s">
        <v>124</v>
      </c>
      <c r="F89" s="78">
        <f t="shared" si="12"/>
        <v>51.2</v>
      </c>
      <c r="G89" s="51">
        <v>1280</v>
      </c>
      <c r="I89" s="69">
        <v>23</v>
      </c>
      <c r="J89" s="69">
        <v>5</v>
      </c>
      <c r="K89" s="69">
        <v>11</v>
      </c>
      <c r="L89" s="69">
        <v>2</v>
      </c>
      <c r="M89" s="69"/>
      <c r="N89" s="69"/>
      <c r="O89" s="69">
        <v>25</v>
      </c>
      <c r="P89" s="158" t="s">
        <v>384</v>
      </c>
    </row>
    <row r="90" spans="1:18">
      <c r="A90" s="92" t="str">
        <f t="shared" si="10"/>
        <v>Polyfeed Aria Speciaal 24-05-11+3MgO+ME 25 kg</v>
      </c>
      <c r="B90" s="91" t="s">
        <v>262</v>
      </c>
      <c r="C90" s="92" t="s">
        <v>263</v>
      </c>
      <c r="D90" s="69" t="s">
        <v>264</v>
      </c>
      <c r="E90" s="69" t="s">
        <v>124</v>
      </c>
      <c r="F90" s="78">
        <f t="shared" si="12"/>
        <v>51.6</v>
      </c>
      <c r="G90" s="51">
        <v>1290</v>
      </c>
      <c r="I90" s="69">
        <v>24</v>
      </c>
      <c r="J90" s="69">
        <v>5</v>
      </c>
      <c r="K90" s="69">
        <v>11</v>
      </c>
      <c r="L90" s="69">
        <v>3</v>
      </c>
      <c r="M90" s="69"/>
      <c r="N90" s="69"/>
      <c r="O90" s="69">
        <v>25</v>
      </c>
      <c r="P90" s="158" t="s">
        <v>384</v>
      </c>
    </row>
    <row r="91" spans="1:18">
      <c r="A91" s="92" t="str">
        <f t="shared" si="10"/>
        <v>Polyfeed Prelude 12-36-12+2MgO+ME 25 kg</v>
      </c>
      <c r="B91" s="91" t="s">
        <v>265</v>
      </c>
      <c r="C91" s="92" t="s">
        <v>403</v>
      </c>
      <c r="D91" s="69" t="s">
        <v>266</v>
      </c>
      <c r="E91" s="69" t="s">
        <v>124</v>
      </c>
      <c r="F91" s="78">
        <f t="shared" si="12"/>
        <v>66</v>
      </c>
      <c r="G91" s="51">
        <v>1650</v>
      </c>
      <c r="I91" s="69">
        <v>12</v>
      </c>
      <c r="J91" s="69">
        <v>36</v>
      </c>
      <c r="K91" s="69">
        <v>12</v>
      </c>
      <c r="L91" s="69">
        <v>2</v>
      </c>
      <c r="M91" s="69"/>
      <c r="N91" s="69"/>
      <c r="O91" s="69">
        <v>25</v>
      </c>
      <c r="P91" s="158" t="s">
        <v>384</v>
      </c>
    </row>
    <row r="92" spans="1:18">
      <c r="A92" s="92" t="str">
        <f t="shared" si="10"/>
        <v>Polyfeed Pavane  09-15-38+2MgO+ME 25 kg</v>
      </c>
      <c r="B92" s="91" t="s">
        <v>267</v>
      </c>
      <c r="C92" s="92" t="s">
        <v>402</v>
      </c>
      <c r="D92" s="69" t="s">
        <v>268</v>
      </c>
      <c r="E92" s="69" t="s">
        <v>124</v>
      </c>
      <c r="F92" s="78">
        <f t="shared" si="12"/>
        <v>68.400000000000006</v>
      </c>
      <c r="G92" s="51">
        <v>1710</v>
      </c>
      <c r="I92" s="69">
        <v>9</v>
      </c>
      <c r="J92" s="69">
        <v>15</v>
      </c>
      <c r="K92" s="69">
        <v>38</v>
      </c>
      <c r="L92" s="69">
        <v>2</v>
      </c>
      <c r="M92" s="69"/>
      <c r="N92" s="69"/>
      <c r="O92" s="69">
        <v>25</v>
      </c>
      <c r="P92" s="158" t="s">
        <v>384</v>
      </c>
    </row>
    <row r="93" spans="1:18">
      <c r="A93" s="92" t="str">
        <f t="shared" ref="A93:A102" si="13">CONCATENATE(C93," ",D93," ",E93)</f>
        <v>Vital - Turf  13-00-00+4S+0,7FE 10 l</v>
      </c>
      <c r="B93" s="87" t="s">
        <v>270</v>
      </c>
      <c r="C93" s="88" t="s">
        <v>271</v>
      </c>
      <c r="D93" s="99" t="s">
        <v>272</v>
      </c>
      <c r="E93" s="99" t="s">
        <v>205</v>
      </c>
      <c r="F93" s="58">
        <v>58</v>
      </c>
      <c r="G93" s="109"/>
      <c r="H93" s="108"/>
      <c r="I93" s="135">
        <v>13</v>
      </c>
      <c r="J93" s="69">
        <v>0</v>
      </c>
      <c r="K93" s="69">
        <v>0</v>
      </c>
      <c r="L93" s="69"/>
      <c r="M93" s="136">
        <v>0.7</v>
      </c>
      <c r="N93" s="69">
        <v>4</v>
      </c>
      <c r="O93" s="69">
        <v>10</v>
      </c>
      <c r="P93" s="229" t="s">
        <v>269</v>
      </c>
      <c r="Q93" s="229"/>
      <c r="R93" s="229"/>
    </row>
    <row r="94" spans="1:18">
      <c r="A94" s="92" t="str">
        <f t="shared" si="13"/>
        <v>Vital - Turf  13-00-00+4S+0,7FE 1 000 l</v>
      </c>
      <c r="B94" s="87" t="s">
        <v>273</v>
      </c>
      <c r="C94" s="88" t="s">
        <v>271</v>
      </c>
      <c r="D94" s="99" t="s">
        <v>272</v>
      </c>
      <c r="E94" s="99" t="s">
        <v>274</v>
      </c>
      <c r="F94" s="58">
        <v>26.45</v>
      </c>
      <c r="G94" s="110"/>
      <c r="H94" s="80"/>
      <c r="I94" s="135">
        <v>13</v>
      </c>
      <c r="J94" s="69">
        <v>0</v>
      </c>
      <c r="K94" s="69">
        <v>0</v>
      </c>
      <c r="L94" s="69"/>
      <c r="M94" s="136">
        <v>0.7</v>
      </c>
      <c r="N94" s="69">
        <v>4</v>
      </c>
      <c r="O94" s="79">
        <v>1000</v>
      </c>
      <c r="P94" s="229" t="s">
        <v>269</v>
      </c>
      <c r="Q94" s="229"/>
      <c r="R94" s="229"/>
    </row>
    <row r="95" spans="1:18">
      <c r="A95" s="92" t="str">
        <f t="shared" si="13"/>
        <v>AGRO - liquid Profi 1 * 10-00-05 1 000 l</v>
      </c>
      <c r="B95" s="87" t="s">
        <v>275</v>
      </c>
      <c r="C95" s="88" t="s">
        <v>276</v>
      </c>
      <c r="D95" s="99" t="s">
        <v>277</v>
      </c>
      <c r="E95" s="99" t="s">
        <v>274</v>
      </c>
      <c r="F95" s="58">
        <v>17.5</v>
      </c>
      <c r="G95" s="111"/>
      <c r="H95" s="80"/>
      <c r="I95" s="135">
        <v>10</v>
      </c>
      <c r="J95" s="69">
        <v>0</v>
      </c>
      <c r="K95" s="69">
        <v>5</v>
      </c>
      <c r="L95" s="69"/>
      <c r="M95" s="136"/>
      <c r="N95" s="69"/>
      <c r="O95" s="79">
        <v>1000</v>
      </c>
      <c r="P95" s="229" t="s">
        <v>269</v>
      </c>
      <c r="Q95" s="229"/>
      <c r="R95" s="229"/>
    </row>
    <row r="96" spans="1:18">
      <c r="A96" s="92" t="str">
        <f t="shared" si="13"/>
        <v>AGRO - liquid Profi 2 * 08-08-00 1 000 l</v>
      </c>
      <c r="B96" s="87" t="s">
        <v>278</v>
      </c>
      <c r="C96" s="88" t="s">
        <v>279</v>
      </c>
      <c r="D96" s="97" t="s">
        <v>280</v>
      </c>
      <c r="E96" s="99" t="s">
        <v>274</v>
      </c>
      <c r="F96" s="58">
        <v>17.5</v>
      </c>
      <c r="G96" s="112"/>
      <c r="H96" s="80"/>
      <c r="I96" s="135">
        <v>13</v>
      </c>
      <c r="J96" s="69">
        <v>0</v>
      </c>
      <c r="K96" s="69">
        <v>0</v>
      </c>
      <c r="L96" s="69"/>
      <c r="M96" s="136"/>
      <c r="N96" s="69"/>
      <c r="O96" s="79">
        <v>1000</v>
      </c>
      <c r="P96" s="229" t="s">
        <v>269</v>
      </c>
      <c r="Q96" s="229"/>
      <c r="R96" s="229"/>
    </row>
    <row r="97" spans="1:18">
      <c r="A97" s="92" t="str">
        <f t="shared" si="13"/>
        <v>AGRO - liquid Profi 3 * 05-00-10+S 1 000 l</v>
      </c>
      <c r="B97" s="87" t="s">
        <v>281</v>
      </c>
      <c r="C97" s="88" t="s">
        <v>282</v>
      </c>
      <c r="D97" s="99" t="s">
        <v>283</v>
      </c>
      <c r="E97" s="99" t="s">
        <v>274</v>
      </c>
      <c r="F97" s="58">
        <v>16.8</v>
      </c>
      <c r="G97" s="111"/>
      <c r="H97" s="113"/>
      <c r="I97" s="135">
        <v>5</v>
      </c>
      <c r="J97" s="69">
        <v>0</v>
      </c>
      <c r="K97" s="69">
        <v>10</v>
      </c>
      <c r="L97" s="69"/>
      <c r="M97" s="136"/>
      <c r="N97" s="69">
        <v>1</v>
      </c>
      <c r="O97" s="79">
        <v>1000</v>
      </c>
      <c r="P97" s="229" t="s">
        <v>269</v>
      </c>
      <c r="Q97" s="229"/>
      <c r="R97" s="229"/>
    </row>
    <row r="98" spans="1:18">
      <c r="A98" s="92" t="str">
        <f t="shared" si="13"/>
        <v>AGRO - liquid Profi 4 * 05-05-05 1 000 l</v>
      </c>
      <c r="B98" s="87" t="s">
        <v>284</v>
      </c>
      <c r="C98" s="88" t="s">
        <v>285</v>
      </c>
      <c r="D98" s="97" t="s">
        <v>286</v>
      </c>
      <c r="E98" s="99" t="s">
        <v>274</v>
      </c>
      <c r="F98" s="58">
        <v>16.8</v>
      </c>
      <c r="G98" s="111"/>
      <c r="H98" s="113"/>
      <c r="I98" s="135">
        <v>5</v>
      </c>
      <c r="J98" s="69">
        <v>5</v>
      </c>
      <c r="K98" s="69">
        <v>5</v>
      </c>
      <c r="L98" s="69"/>
      <c r="M98" s="136"/>
      <c r="N98" s="69"/>
      <c r="O98" s="79">
        <v>1000</v>
      </c>
      <c r="P98" s="229" t="s">
        <v>269</v>
      </c>
      <c r="Q98" s="229"/>
      <c r="R98" s="229"/>
    </row>
    <row r="99" spans="1:18">
      <c r="A99" s="92" t="str">
        <f t="shared" si="13"/>
        <v>SAM /1.000 l = cca 1,3 t/ 19-00-00 1 000 kg</v>
      </c>
      <c r="B99" s="87" t="s">
        <v>287</v>
      </c>
      <c r="C99" s="88" t="s">
        <v>288</v>
      </c>
      <c r="D99" s="97" t="s">
        <v>289</v>
      </c>
      <c r="E99" s="99" t="s">
        <v>290</v>
      </c>
      <c r="F99" s="59">
        <v>8.9</v>
      </c>
      <c r="G99" s="114"/>
      <c r="H99" s="113"/>
      <c r="I99" s="135">
        <v>19</v>
      </c>
      <c r="J99" s="69">
        <v>0</v>
      </c>
      <c r="K99" s="69">
        <v>0</v>
      </c>
      <c r="L99" s="69"/>
      <c r="M99" s="136"/>
      <c r="N99" s="69"/>
      <c r="O99" s="79">
        <v>1000</v>
      </c>
      <c r="P99" s="229" t="s">
        <v>269</v>
      </c>
      <c r="Q99" s="229"/>
      <c r="R99" s="229"/>
    </row>
    <row r="100" spans="1:18">
      <c r="A100" s="92" t="str">
        <f t="shared" si="13"/>
        <v>DAM /1.000 l = cca 1,3 t/ 30-00-00 1 000 kg</v>
      </c>
      <c r="B100" s="87" t="s">
        <v>287</v>
      </c>
      <c r="C100" s="88" t="s">
        <v>291</v>
      </c>
      <c r="D100" s="97" t="s">
        <v>292</v>
      </c>
      <c r="E100" s="99" t="s">
        <v>290</v>
      </c>
      <c r="F100" s="59">
        <v>16.899999999999999</v>
      </c>
      <c r="G100" s="114"/>
      <c r="H100" s="116"/>
      <c r="I100" s="135">
        <v>30</v>
      </c>
      <c r="J100" s="69">
        <v>0</v>
      </c>
      <c r="K100" s="69">
        <v>0</v>
      </c>
      <c r="L100" s="69"/>
      <c r="M100" s="136"/>
      <c r="N100" s="69"/>
      <c r="O100" s="79">
        <v>1000</v>
      </c>
      <c r="P100" s="229" t="s">
        <v>269</v>
      </c>
      <c r="Q100" s="229"/>
      <c r="R100" s="229"/>
    </row>
    <row r="101" spans="1:18">
      <c r="A101" s="92" t="str">
        <f t="shared" si="13"/>
        <v>Magnitra 10% MgO 20 l</v>
      </c>
      <c r="B101" s="87" t="s">
        <v>293</v>
      </c>
      <c r="C101" s="88" t="s">
        <v>294</v>
      </c>
      <c r="D101" s="97" t="s">
        <v>295</v>
      </c>
      <c r="E101" s="99" t="s">
        <v>296</v>
      </c>
      <c r="F101" s="59">
        <v>1115</v>
      </c>
      <c r="G101" s="111"/>
      <c r="H101" s="117"/>
      <c r="I101" s="137"/>
      <c r="J101" s="138"/>
      <c r="K101" s="69"/>
      <c r="L101" s="69">
        <v>10</v>
      </c>
      <c r="M101" s="130"/>
      <c r="N101" s="69"/>
      <c r="O101" s="69">
        <v>20</v>
      </c>
      <c r="P101" s="229" t="s">
        <v>269</v>
      </c>
      <c r="Q101" s="229"/>
      <c r="R101" s="229"/>
    </row>
    <row r="102" spans="1:18">
      <c r="A102" s="92" t="str">
        <f t="shared" si="13"/>
        <v>YaraVita Mantrac 27,4%  Mn 5 l</v>
      </c>
      <c r="B102" s="87" t="s">
        <v>297</v>
      </c>
      <c r="C102" s="88" t="s">
        <v>298</v>
      </c>
      <c r="D102" s="97" t="s">
        <v>299</v>
      </c>
      <c r="E102" s="99" t="s">
        <v>300</v>
      </c>
      <c r="F102" s="59">
        <v>2218</v>
      </c>
      <c r="G102" s="111"/>
      <c r="H102" s="118"/>
      <c r="I102" s="139"/>
      <c r="J102" s="138"/>
      <c r="K102" s="69"/>
      <c r="L102" s="69"/>
      <c r="M102" s="130"/>
      <c r="N102" s="69"/>
      <c r="O102" s="69">
        <v>5</v>
      </c>
      <c r="P102" s="229" t="s">
        <v>269</v>
      </c>
      <c r="Q102" s="229"/>
      <c r="R102" s="229"/>
    </row>
    <row r="103" spans="1:18">
      <c r="A103" s="92" t="str">
        <f t="shared" ref="A103:A141" si="14">CONCATENATE(C103," ",D103," ",E103)</f>
        <v>Liquid Iron - tekuté železo 2-0-10+8,7Fe 5 l</v>
      </c>
      <c r="B103" s="91" t="s">
        <v>302</v>
      </c>
      <c r="C103" s="92" t="s">
        <v>385</v>
      </c>
      <c r="D103" s="92" t="s">
        <v>386</v>
      </c>
      <c r="E103" s="69" t="s">
        <v>300</v>
      </c>
      <c r="F103" s="78">
        <f>SUM(G103/5)</f>
        <v>397</v>
      </c>
      <c r="G103" s="61">
        <v>1985</v>
      </c>
      <c r="H103" s="119"/>
      <c r="I103" s="69">
        <v>2</v>
      </c>
      <c r="J103" s="135">
        <v>0</v>
      </c>
      <c r="K103" s="69">
        <v>10</v>
      </c>
      <c r="L103" s="69"/>
      <c r="M103" s="69">
        <v>8.6999999999999993</v>
      </c>
      <c r="N103" s="130"/>
      <c r="O103" s="69">
        <v>5</v>
      </c>
      <c r="P103" s="159" t="s">
        <v>301</v>
      </c>
    </row>
    <row r="104" spans="1:18">
      <c r="A104" s="92" t="str">
        <f t="shared" si="14"/>
        <v>Black Layer Treatment - proti černým vrstvám  5 l</v>
      </c>
      <c r="B104" s="91" t="s">
        <v>303</v>
      </c>
      <c r="C104" s="92" t="s">
        <v>304</v>
      </c>
      <c r="D104" s="92"/>
      <c r="E104" s="69" t="s">
        <v>300</v>
      </c>
      <c r="F104" s="78">
        <f>SUM(G104/5)</f>
        <v>288.39999999999998</v>
      </c>
      <c r="G104" s="61">
        <v>1442</v>
      </c>
      <c r="H104" s="120"/>
      <c r="I104" s="69"/>
      <c r="J104" s="141"/>
      <c r="K104" s="138"/>
      <c r="L104" s="69"/>
      <c r="M104" s="69"/>
      <c r="N104" s="69"/>
      <c r="O104" s="69">
        <v>5</v>
      </c>
      <c r="P104" s="159" t="s">
        <v>301</v>
      </c>
    </row>
    <row r="105" spans="1:18">
      <c r="A105" s="92" t="str">
        <f t="shared" si="14"/>
        <v>Direction Blue Liquid - barva do postřiků  1 l</v>
      </c>
      <c r="B105" s="121" t="s">
        <v>305</v>
      </c>
      <c r="C105" s="122" t="s">
        <v>306</v>
      </c>
      <c r="D105" s="92"/>
      <c r="E105" s="123" t="s">
        <v>307</v>
      </c>
      <c r="F105" s="78">
        <f>SUM(G105/1)</f>
        <v>957</v>
      </c>
      <c r="G105" s="61">
        <v>957</v>
      </c>
      <c r="H105" s="120"/>
      <c r="I105" s="69"/>
      <c r="J105" s="141"/>
      <c r="K105" s="138"/>
      <c r="L105" s="69"/>
      <c r="M105" s="69"/>
      <c r="N105" s="69"/>
      <c r="O105" s="69">
        <v>1</v>
      </c>
      <c r="P105" s="159" t="s">
        <v>301</v>
      </c>
    </row>
    <row r="106" spans="1:18">
      <c r="A106" s="92" t="str">
        <f t="shared" si="14"/>
        <v>Herbaverde - zelená barva  1 l</v>
      </c>
      <c r="B106" s="91" t="s">
        <v>308</v>
      </c>
      <c r="C106" s="92" t="s">
        <v>309</v>
      </c>
      <c r="D106" s="92"/>
      <c r="E106" s="69" t="s">
        <v>307</v>
      </c>
      <c r="F106" s="78">
        <f>SUM(G106/1)</f>
        <v>1312</v>
      </c>
      <c r="G106" s="61">
        <v>1312</v>
      </c>
      <c r="H106" s="120"/>
      <c r="I106" s="69"/>
      <c r="J106" s="141"/>
      <c r="K106" s="138"/>
      <c r="L106" s="69"/>
      <c r="M106" s="69"/>
      <c r="N106" s="69"/>
      <c r="O106" s="69">
        <v>1</v>
      </c>
      <c r="P106" s="159" t="s">
        <v>301</v>
      </c>
    </row>
    <row r="107" spans="1:18">
      <c r="A107" s="92" t="str">
        <f t="shared" si="14"/>
        <v>Turf Tonic - proti mechům  5 l</v>
      </c>
      <c r="B107" s="91" t="s">
        <v>310</v>
      </c>
      <c r="C107" s="92" t="s">
        <v>311</v>
      </c>
      <c r="D107" s="92"/>
      <c r="E107" s="69" t="s">
        <v>300</v>
      </c>
      <c r="F107" s="78">
        <f>SUM(G107/5)</f>
        <v>449</v>
      </c>
      <c r="G107" s="61">
        <v>2245</v>
      </c>
      <c r="H107" s="120"/>
      <c r="I107" s="69"/>
      <c r="J107" s="141"/>
      <c r="K107" s="138"/>
      <c r="L107" s="69"/>
      <c r="M107" s="69"/>
      <c r="N107" s="69"/>
      <c r="O107" s="69">
        <v>5</v>
      </c>
      <c r="P107" s="159" t="s">
        <v>301</v>
      </c>
    </row>
    <row r="108" spans="1:18">
      <c r="A108" s="92" t="str">
        <f t="shared" si="14"/>
        <v>Biostimulant R - podpora kořenů  5 l</v>
      </c>
      <c r="B108" s="91" t="s">
        <v>312</v>
      </c>
      <c r="C108" s="92" t="s">
        <v>313</v>
      </c>
      <c r="D108" s="92"/>
      <c r="E108" s="69" t="s">
        <v>300</v>
      </c>
      <c r="F108" s="78">
        <f>SUM(G108/5)</f>
        <v>359</v>
      </c>
      <c r="G108" s="61">
        <v>1795</v>
      </c>
      <c r="H108" s="120"/>
      <c r="I108" s="69"/>
      <c r="J108" s="141"/>
      <c r="K108" s="138"/>
      <c r="L108" s="69"/>
      <c r="M108" s="69"/>
      <c r="N108" s="69"/>
      <c r="O108" s="69">
        <v>5</v>
      </c>
      <c r="P108" s="159" t="s">
        <v>301</v>
      </c>
    </row>
    <row r="109" spans="1:18">
      <c r="A109" s="92" t="str">
        <f t="shared" si="14"/>
        <v>GoGreen Iron Granules - granulované železo 2-0-10+8,7Fe 20 kg</v>
      </c>
      <c r="B109" s="91" t="s">
        <v>314</v>
      </c>
      <c r="C109" s="92" t="s">
        <v>387</v>
      </c>
      <c r="D109" s="92" t="s">
        <v>386</v>
      </c>
      <c r="E109" s="69" t="s">
        <v>53</v>
      </c>
      <c r="F109" s="78">
        <f>SUM(G109/20)</f>
        <v>80.25</v>
      </c>
      <c r="G109" s="61">
        <v>1605</v>
      </c>
      <c r="H109" s="120"/>
      <c r="I109" s="69">
        <v>2</v>
      </c>
      <c r="J109" s="135">
        <v>0</v>
      </c>
      <c r="K109" s="69">
        <v>10</v>
      </c>
      <c r="L109" s="69"/>
      <c r="M109" s="69">
        <v>8.6999999999999993</v>
      </c>
      <c r="N109" s="69"/>
      <c r="O109" s="69">
        <v>20</v>
      </c>
      <c r="P109" s="159" t="s">
        <v>301</v>
      </c>
    </row>
    <row r="110" spans="1:18">
      <c r="A110" s="92" t="str">
        <f t="shared" si="14"/>
        <v>Impact Enhance - granulovaný vápenec  20 kg</v>
      </c>
      <c r="B110" s="124" t="s">
        <v>315</v>
      </c>
      <c r="C110" s="92" t="s">
        <v>316</v>
      </c>
      <c r="D110" s="92"/>
      <c r="E110" s="69" t="s">
        <v>53</v>
      </c>
      <c r="F110" s="78">
        <f>SUM(G110/20)</f>
        <v>62.85</v>
      </c>
      <c r="G110" s="61">
        <v>1257</v>
      </c>
      <c r="H110" s="120"/>
      <c r="I110" s="69"/>
      <c r="J110" s="141"/>
      <c r="K110" s="138"/>
      <c r="L110" s="69"/>
      <c r="M110" s="69"/>
      <c r="N110" s="69"/>
      <c r="O110" s="69">
        <v>20</v>
      </c>
      <c r="P110" s="159" t="s">
        <v>301</v>
      </c>
    </row>
    <row r="111" spans="1:18">
      <c r="A111" s="92" t="str">
        <f t="shared" si="14"/>
        <v>Straight Up + 6Si - vzpřímený růst trávy  5 l</v>
      </c>
      <c r="B111" s="91" t="s">
        <v>317</v>
      </c>
      <c r="C111" s="92" t="s">
        <v>318</v>
      </c>
      <c r="D111" s="92"/>
      <c r="E111" s="69" t="s">
        <v>300</v>
      </c>
      <c r="F111" s="78">
        <f>SUM(G111/5)</f>
        <v>291</v>
      </c>
      <c r="G111" s="61">
        <v>1455</v>
      </c>
      <c r="H111" s="120"/>
      <c r="I111" s="69"/>
      <c r="J111" s="141"/>
      <c r="K111" s="138"/>
      <c r="L111" s="69"/>
      <c r="M111" s="69"/>
      <c r="N111" s="69"/>
      <c r="O111" s="69">
        <v>5</v>
      </c>
      <c r="P111" s="159" t="s">
        <v>301</v>
      </c>
    </row>
    <row r="112" spans="1:18">
      <c r="A112" s="92" t="str">
        <f t="shared" si="14"/>
        <v>AlgaeGreen 200  20 l</v>
      </c>
      <c r="B112" s="91" t="s">
        <v>319</v>
      </c>
      <c r="C112" s="92" t="s">
        <v>320</v>
      </c>
      <c r="D112" s="92"/>
      <c r="E112" s="69" t="s">
        <v>296</v>
      </c>
      <c r="F112" s="78">
        <f>SUM(G112/20)</f>
        <v>255.4</v>
      </c>
      <c r="G112" s="61">
        <v>5108</v>
      </c>
      <c r="H112" s="120"/>
      <c r="I112" s="69"/>
      <c r="J112" s="141"/>
      <c r="K112" s="138"/>
      <c r="L112" s="69"/>
      <c r="M112" s="69"/>
      <c r="N112" s="69"/>
      <c r="O112" s="69">
        <v>20</v>
      </c>
      <c r="P112" s="159" t="s">
        <v>301</v>
      </c>
    </row>
    <row r="113" spans="1:16">
      <c r="A113" s="92" t="str">
        <f t="shared" si="14"/>
        <v>Purity Soil Conditioner Mini  20 kg</v>
      </c>
      <c r="B113" s="91" t="s">
        <v>321</v>
      </c>
      <c r="C113" s="92" t="s">
        <v>322</v>
      </c>
      <c r="D113" s="92"/>
      <c r="E113" s="69" t="s">
        <v>53</v>
      </c>
      <c r="F113" s="78">
        <f>SUM(G113/20)</f>
        <v>78.3</v>
      </c>
      <c r="G113" s="61">
        <v>1566</v>
      </c>
      <c r="H113" s="120"/>
      <c r="I113" s="69"/>
      <c r="J113" s="142"/>
      <c r="K113" s="138"/>
      <c r="L113" s="69"/>
      <c r="M113" s="69"/>
      <c r="N113" s="69"/>
      <c r="O113" s="69">
        <v>20</v>
      </c>
      <c r="P113" s="159" t="s">
        <v>301</v>
      </c>
    </row>
    <row r="114" spans="1:16">
      <c r="A114" s="92" t="str">
        <f t="shared" si="14"/>
        <v>Microbial Thatch Biostimulant - požírač plsti  5 l</v>
      </c>
      <c r="B114" s="91" t="s">
        <v>323</v>
      </c>
      <c r="C114" s="92" t="s">
        <v>324</v>
      </c>
      <c r="D114" s="92"/>
      <c r="E114" s="69" t="s">
        <v>300</v>
      </c>
      <c r="F114" s="78">
        <f>SUM(G114/5)</f>
        <v>610.4</v>
      </c>
      <c r="G114" s="61">
        <v>3052</v>
      </c>
      <c r="H114" s="120"/>
      <c r="I114" s="69"/>
      <c r="J114" s="141"/>
      <c r="K114" s="138"/>
      <c r="L114" s="69"/>
      <c r="M114" s="69"/>
      <c r="N114" s="69"/>
      <c r="O114" s="69">
        <v>5</v>
      </c>
      <c r="P114" s="159" t="s">
        <v>301</v>
      </c>
    </row>
    <row r="115" spans="1:16">
      <c r="A115" s="92" t="str">
        <f t="shared" si="14"/>
        <v xml:space="preserve">Dew Desperser - odstraňovač rosy   5 l </v>
      </c>
      <c r="B115" s="91" t="s">
        <v>325</v>
      </c>
      <c r="C115" s="122" t="s">
        <v>326</v>
      </c>
      <c r="D115" s="92"/>
      <c r="E115" s="69" t="s">
        <v>327</v>
      </c>
      <c r="F115" s="78">
        <f>SUM(G115/5)</f>
        <v>380</v>
      </c>
      <c r="G115" s="61">
        <v>1900</v>
      </c>
      <c r="H115" s="120"/>
      <c r="I115" s="69"/>
      <c r="J115" s="141"/>
      <c r="K115" s="138"/>
      <c r="L115" s="69"/>
      <c r="M115" s="69"/>
      <c r="N115" s="69"/>
      <c r="O115" s="69">
        <v>5</v>
      </c>
      <c r="P115" s="159" t="s">
        <v>301</v>
      </c>
    </row>
    <row r="116" spans="1:16">
      <c r="A116" s="92" t="str">
        <f t="shared" si="14"/>
        <v xml:space="preserve">UISE PLUS - úprava pH  5 l </v>
      </c>
      <c r="B116" s="91" t="s">
        <v>328</v>
      </c>
      <c r="C116" s="122" t="s">
        <v>329</v>
      </c>
      <c r="D116" s="92"/>
      <c r="E116" s="69" t="s">
        <v>327</v>
      </c>
      <c r="F116" s="78">
        <f>SUM(G116/5)</f>
        <v>184</v>
      </c>
      <c r="G116" s="61">
        <v>920</v>
      </c>
      <c r="H116" s="120"/>
      <c r="I116" s="69"/>
      <c r="J116" s="142"/>
      <c r="K116" s="138"/>
      <c r="L116" s="69"/>
      <c r="M116" s="69"/>
      <c r="N116" s="69"/>
      <c r="O116" s="69">
        <v>5</v>
      </c>
      <c r="P116" s="159" t="s">
        <v>301</v>
      </c>
    </row>
    <row r="117" spans="1:16">
      <c r="A117" s="92" t="str">
        <f t="shared" si="14"/>
        <v>Agro Vitality komplex extra silný  5 l</v>
      </c>
      <c r="B117" s="91" t="s">
        <v>330</v>
      </c>
      <c r="C117" s="122" t="s">
        <v>331</v>
      </c>
      <c r="D117" s="92"/>
      <c r="E117" s="69" t="s">
        <v>300</v>
      </c>
      <c r="F117" s="78">
        <f>SUM(G117/5)</f>
        <v>102.4</v>
      </c>
      <c r="G117" s="61">
        <v>512</v>
      </c>
      <c r="H117" s="120"/>
      <c r="I117" s="69"/>
      <c r="J117" s="142"/>
      <c r="K117" s="138"/>
      <c r="L117" s="69"/>
      <c r="M117" s="69"/>
      <c r="N117" s="69"/>
      <c r="O117" s="69">
        <v>5</v>
      </c>
      <c r="P117" s="159" t="s">
        <v>301</v>
      </c>
    </row>
    <row r="118" spans="1:16">
      <c r="A118" s="92" t="str">
        <f t="shared" si="14"/>
        <v>Agro Vitality komplex extra silný  10 l</v>
      </c>
      <c r="B118" s="91" t="s">
        <v>332</v>
      </c>
      <c r="C118" s="122" t="s">
        <v>331</v>
      </c>
      <c r="D118" s="92"/>
      <c r="E118" s="69" t="s">
        <v>205</v>
      </c>
      <c r="F118" s="78">
        <f>SUM(G118/10)</f>
        <v>92</v>
      </c>
      <c r="G118" s="61">
        <v>920</v>
      </c>
      <c r="H118" s="120"/>
      <c r="I118" s="69"/>
      <c r="J118" s="141"/>
      <c r="K118" s="138"/>
      <c r="L118" s="69"/>
      <c r="M118" s="69"/>
      <c r="N118" s="69"/>
      <c r="O118" s="69">
        <v>10</v>
      </c>
      <c r="P118" s="159" t="s">
        <v>301</v>
      </c>
    </row>
    <row r="119" spans="1:16">
      <c r="A119" s="92" t="str">
        <f t="shared" si="14"/>
        <v>Agro Vitality komplex extra silný  20 l</v>
      </c>
      <c r="B119" s="91" t="s">
        <v>333</v>
      </c>
      <c r="C119" s="122" t="s">
        <v>331</v>
      </c>
      <c r="D119" s="92"/>
      <c r="E119" s="69" t="s">
        <v>296</v>
      </c>
      <c r="F119" s="78">
        <f>SUM(G119/20)</f>
        <v>88.05</v>
      </c>
      <c r="G119" s="61">
        <v>1761</v>
      </c>
      <c r="H119" s="120"/>
      <c r="I119" s="69"/>
      <c r="J119" s="141"/>
      <c r="K119" s="138"/>
      <c r="L119" s="69"/>
      <c r="M119" s="69"/>
      <c r="N119" s="69"/>
      <c r="O119" s="69">
        <v>20</v>
      </c>
      <c r="P119" s="159" t="s">
        <v>301</v>
      </c>
    </row>
    <row r="120" spans="1:16">
      <c r="A120" s="92" t="str">
        <f t="shared" si="14"/>
        <v>Hydrogel  25 kg</v>
      </c>
      <c r="B120" s="91" t="s">
        <v>334</v>
      </c>
      <c r="C120" s="132" t="s">
        <v>335</v>
      </c>
      <c r="D120" s="92"/>
      <c r="E120" s="69" t="s">
        <v>124</v>
      </c>
      <c r="F120" s="78">
        <f>SUM(G120/25)</f>
        <v>353.6</v>
      </c>
      <c r="G120" s="62">
        <v>8840</v>
      </c>
      <c r="H120" s="120"/>
      <c r="I120" s="69"/>
      <c r="J120" s="141"/>
      <c r="K120" s="138"/>
      <c r="L120" s="69"/>
      <c r="M120" s="69"/>
      <c r="N120" s="69"/>
      <c r="O120" s="69">
        <v>25</v>
      </c>
      <c r="P120" s="159" t="s">
        <v>301</v>
      </c>
    </row>
    <row r="121" spans="1:16">
      <c r="A121" s="92" t="str">
        <f t="shared" si="14"/>
        <v>Revolution  10 l</v>
      </c>
      <c r="B121" s="91" t="s">
        <v>336</v>
      </c>
      <c r="C121" s="92" t="s">
        <v>337</v>
      </c>
      <c r="D121" s="92"/>
      <c r="E121" s="69" t="s">
        <v>205</v>
      </c>
      <c r="F121" s="78">
        <f>SUM(G121/10)</f>
        <v>823.5</v>
      </c>
      <c r="G121" s="51">
        <v>8235</v>
      </c>
      <c r="H121" s="125"/>
      <c r="I121" s="69"/>
      <c r="J121" s="137"/>
      <c r="K121" s="138"/>
      <c r="L121" s="69"/>
      <c r="M121" s="69"/>
      <c r="N121" s="130"/>
      <c r="O121" s="69">
        <v>10</v>
      </c>
      <c r="P121" s="159" t="s">
        <v>301</v>
      </c>
    </row>
    <row r="122" spans="1:16">
      <c r="A122" s="92" t="str">
        <f t="shared" si="14"/>
        <v>Primer Select  10 l</v>
      </c>
      <c r="B122" s="91" t="s">
        <v>338</v>
      </c>
      <c r="C122" s="92" t="s">
        <v>339</v>
      </c>
      <c r="D122" s="92"/>
      <c r="E122" s="69" t="s">
        <v>205</v>
      </c>
      <c r="F122" s="78">
        <f>SUM(G122/10)</f>
        <v>729.3</v>
      </c>
      <c r="G122" s="51">
        <v>7293</v>
      </c>
      <c r="H122" s="119"/>
      <c r="I122" s="69"/>
      <c r="J122" s="141"/>
      <c r="K122" s="138"/>
      <c r="L122" s="69"/>
      <c r="M122" s="69"/>
      <c r="N122" s="130"/>
      <c r="O122" s="69">
        <v>10</v>
      </c>
      <c r="P122" s="159" t="s">
        <v>301</v>
      </c>
    </row>
    <row r="123" spans="1:16">
      <c r="A123" s="92" t="str">
        <f t="shared" si="14"/>
        <v>Aqueduct  1 l</v>
      </c>
      <c r="B123" s="91" t="s">
        <v>340</v>
      </c>
      <c r="C123" s="92" t="s">
        <v>341</v>
      </c>
      <c r="D123" s="92"/>
      <c r="E123" s="69" t="s">
        <v>307</v>
      </c>
      <c r="F123" s="78">
        <f>SUM(G123/1)</f>
        <v>680</v>
      </c>
      <c r="G123" s="51">
        <v>680</v>
      </c>
      <c r="H123" s="119"/>
      <c r="I123" s="69"/>
      <c r="J123" s="141"/>
      <c r="K123" s="138"/>
      <c r="L123" s="69"/>
      <c r="M123" s="69"/>
      <c r="N123" s="130"/>
      <c r="O123" s="69">
        <v>1</v>
      </c>
      <c r="P123" s="159" t="s">
        <v>301</v>
      </c>
    </row>
    <row r="124" spans="1:16">
      <c r="A124" s="92" t="str">
        <f t="shared" si="14"/>
        <v>Aqueduct  10 l</v>
      </c>
      <c r="B124" s="91" t="s">
        <v>342</v>
      </c>
      <c r="C124" s="92" t="s">
        <v>341</v>
      </c>
      <c r="D124" s="92"/>
      <c r="E124" s="69" t="s">
        <v>205</v>
      </c>
      <c r="F124" s="78">
        <f>SUM(G124/10)</f>
        <v>654.5</v>
      </c>
      <c r="G124" s="51">
        <v>6545</v>
      </c>
      <c r="I124" s="69"/>
      <c r="J124" s="141"/>
      <c r="K124" s="138"/>
      <c r="L124" s="69"/>
      <c r="M124" s="69"/>
      <c r="N124" s="130"/>
      <c r="O124" s="69">
        <v>10</v>
      </c>
      <c r="P124" s="159" t="s">
        <v>301</v>
      </c>
    </row>
    <row r="125" spans="1:16">
      <c r="A125" s="92" t="str">
        <f t="shared" si="14"/>
        <v>Fifty90 **  10 l</v>
      </c>
      <c r="B125" s="91" t="s">
        <v>343</v>
      </c>
      <c r="C125" s="92" t="s">
        <v>389</v>
      </c>
      <c r="D125" s="92"/>
      <c r="E125" s="69" t="s">
        <v>205</v>
      </c>
      <c r="F125" s="78">
        <f>SUM(G125/10)</f>
        <v>777</v>
      </c>
      <c r="G125" s="51">
        <v>7770</v>
      </c>
      <c r="H125" s="119"/>
      <c r="I125" s="69"/>
      <c r="J125" s="141"/>
      <c r="K125" s="138"/>
      <c r="L125" s="69"/>
      <c r="M125" s="69"/>
      <c r="N125" s="130"/>
      <c r="O125" s="69">
        <v>10</v>
      </c>
      <c r="P125" s="159" t="s">
        <v>301</v>
      </c>
    </row>
    <row r="126" spans="1:16">
      <c r="A126" s="92" t="str">
        <f t="shared" si="14"/>
        <v>Dispatch Sprayable   10 l</v>
      </c>
      <c r="B126" s="91" t="s">
        <v>344</v>
      </c>
      <c r="C126" s="92" t="s">
        <v>345</v>
      </c>
      <c r="D126" s="92"/>
      <c r="E126" s="69" t="s">
        <v>205</v>
      </c>
      <c r="F126" s="78">
        <f>SUM(G126/10)</f>
        <v>932</v>
      </c>
      <c r="G126" s="51">
        <v>9320</v>
      </c>
      <c r="H126" s="119"/>
      <c r="I126" s="69"/>
      <c r="J126" s="141"/>
      <c r="K126" s="138"/>
      <c r="L126" s="69"/>
      <c r="M126" s="69"/>
      <c r="N126" s="130"/>
      <c r="O126" s="69">
        <v>10</v>
      </c>
      <c r="P126" s="159" t="s">
        <v>301</v>
      </c>
    </row>
    <row r="127" spans="1:16">
      <c r="A127" s="92" t="str">
        <f t="shared" si="14"/>
        <v>Advantage plus tablety  6 ks</v>
      </c>
      <c r="B127" s="91" t="s">
        <v>346</v>
      </c>
      <c r="C127" s="92" t="s">
        <v>347</v>
      </c>
      <c r="D127" s="92"/>
      <c r="E127" s="69" t="s">
        <v>348</v>
      </c>
      <c r="F127" s="78">
        <f>SUM(G127/6)</f>
        <v>442</v>
      </c>
      <c r="G127" s="51">
        <v>2652</v>
      </c>
      <c r="H127" s="119"/>
      <c r="I127" s="69"/>
      <c r="J127" s="141"/>
      <c r="K127" s="138"/>
      <c r="L127" s="69"/>
      <c r="M127" s="69"/>
      <c r="N127" s="130"/>
      <c r="O127" s="69">
        <v>6</v>
      </c>
      <c r="P127" s="159" t="s">
        <v>301</v>
      </c>
    </row>
    <row r="128" spans="1:16">
      <c r="A128" s="92" t="str">
        <f t="shared" si="14"/>
        <v>Aqueduct Flex - granulované smáčedlo  20 kg</v>
      </c>
      <c r="B128" s="91" t="s">
        <v>350</v>
      </c>
      <c r="C128" s="92" t="s">
        <v>351</v>
      </c>
      <c r="D128" s="92"/>
      <c r="E128" s="69" t="s">
        <v>53</v>
      </c>
      <c r="F128" s="78">
        <f>SUM(G128/20)</f>
        <v>259.5</v>
      </c>
      <c r="G128" s="51">
        <v>5190</v>
      </c>
      <c r="H128" s="119"/>
      <c r="I128" s="69"/>
      <c r="J128" s="141"/>
      <c r="K128" s="138"/>
      <c r="L128" s="69"/>
      <c r="M128" s="69"/>
      <c r="N128" s="130"/>
      <c r="O128" s="69">
        <v>20</v>
      </c>
      <c r="P128" s="159" t="s">
        <v>301</v>
      </c>
    </row>
    <row r="129" spans="1:16">
      <c r="A129" s="92" t="str">
        <f t="shared" si="14"/>
        <v>H2Pro TriSmart  5 l</v>
      </c>
      <c r="B129" s="91" t="s">
        <v>352</v>
      </c>
      <c r="C129" s="92" t="s">
        <v>390</v>
      </c>
      <c r="D129" s="92"/>
      <c r="E129" s="69" t="s">
        <v>300</v>
      </c>
      <c r="F129" s="78">
        <f>SUM(G129/5)</f>
        <v>857</v>
      </c>
      <c r="G129" s="61">
        <v>4285</v>
      </c>
      <c r="H129" s="119"/>
      <c r="I129" s="69"/>
      <c r="J129" s="141"/>
      <c r="K129" s="138"/>
      <c r="L129" s="69"/>
      <c r="M129" s="69"/>
      <c r="N129" s="130"/>
      <c r="O129" s="69">
        <v>5</v>
      </c>
      <c r="P129" s="159" t="s">
        <v>301</v>
      </c>
    </row>
    <row r="130" spans="1:16">
      <c r="A130" s="92" t="str">
        <f t="shared" si="14"/>
        <v>H2Pro FlowSmart  10 l</v>
      </c>
      <c r="B130" s="91" t="s">
        <v>353</v>
      </c>
      <c r="C130" s="92" t="s">
        <v>391</v>
      </c>
      <c r="D130" s="92"/>
      <c r="E130" s="69" t="s">
        <v>205</v>
      </c>
      <c r="F130" s="78">
        <f>SUM(G130/10)</f>
        <v>679</v>
      </c>
      <c r="G130" s="51">
        <v>6790</v>
      </c>
      <c r="H130" s="119"/>
      <c r="I130" s="69"/>
      <c r="J130" s="141"/>
      <c r="K130" s="138"/>
      <c r="L130" s="69"/>
      <c r="M130" s="69"/>
      <c r="N130" s="130"/>
      <c r="O130" s="69">
        <v>10</v>
      </c>
      <c r="P130" s="159" t="s">
        <v>301</v>
      </c>
    </row>
    <row r="131" spans="1:16">
      <c r="A131" s="92" t="str">
        <f t="shared" si="14"/>
        <v>H2Pro AquaSmart  5 l</v>
      </c>
      <c r="B131" s="91" t="s">
        <v>354</v>
      </c>
      <c r="C131" s="92" t="s">
        <v>392</v>
      </c>
      <c r="D131" s="92"/>
      <c r="E131" s="69" t="s">
        <v>300</v>
      </c>
      <c r="F131" s="78">
        <f>SUM(G131/5)</f>
        <v>745</v>
      </c>
      <c r="G131" s="51">
        <v>3725</v>
      </c>
      <c r="H131" s="119"/>
      <c r="I131" s="69"/>
      <c r="J131" s="141"/>
      <c r="K131" s="138"/>
      <c r="L131" s="69"/>
      <c r="M131" s="69"/>
      <c r="N131" s="130"/>
      <c r="O131" s="69">
        <v>5</v>
      </c>
      <c r="P131" s="159" t="s">
        <v>301</v>
      </c>
    </row>
    <row r="132" spans="1:16">
      <c r="A132" s="92" t="str">
        <f t="shared" si="14"/>
        <v>Pickup (+ mangan)  5 l</v>
      </c>
      <c r="B132" s="91" t="s">
        <v>355</v>
      </c>
      <c r="C132" s="92" t="s">
        <v>356</v>
      </c>
      <c r="D132" s="92"/>
      <c r="E132" s="69" t="s">
        <v>300</v>
      </c>
      <c r="F132" s="78">
        <f>SUM(G132/5)</f>
        <v>625</v>
      </c>
      <c r="G132" s="51">
        <v>3125</v>
      </c>
      <c r="H132" s="125"/>
      <c r="I132" s="69"/>
      <c r="J132" s="137"/>
      <c r="K132" s="138"/>
      <c r="L132" s="69"/>
      <c r="M132" s="69"/>
      <c r="N132" s="130"/>
      <c r="O132" s="69">
        <v>5</v>
      </c>
      <c r="P132" s="159" t="s">
        <v>301</v>
      </c>
    </row>
    <row r="133" spans="1:16">
      <c r="A133" s="92" t="str">
        <f t="shared" si="14"/>
        <v>Pickup 341 - postřik pro ochranu listů  5 l</v>
      </c>
      <c r="B133" s="91" t="s">
        <v>357</v>
      </c>
      <c r="C133" s="92" t="s">
        <v>358</v>
      </c>
      <c r="D133" s="92"/>
      <c r="E133" s="69" t="s">
        <v>300</v>
      </c>
      <c r="F133" s="78">
        <f>SUM(G133/5)</f>
        <v>927</v>
      </c>
      <c r="G133" s="51">
        <v>4635</v>
      </c>
      <c r="H133" s="119"/>
      <c r="I133" s="69"/>
      <c r="J133" s="142"/>
      <c r="K133" s="138"/>
      <c r="L133" s="69"/>
      <c r="M133" s="69"/>
      <c r="N133" s="130"/>
      <c r="O133" s="69">
        <v>5</v>
      </c>
      <c r="P133" s="159" t="s">
        <v>301</v>
      </c>
    </row>
    <row r="134" spans="1:16">
      <c r="A134" s="92" t="str">
        <f t="shared" si="14"/>
        <v>Rubisco Smart - pigmenty a aminokyseliny  5 l</v>
      </c>
      <c r="B134" s="91" t="s">
        <v>359</v>
      </c>
      <c r="C134" s="92" t="s">
        <v>360</v>
      </c>
      <c r="D134" s="92"/>
      <c r="E134" s="69" t="s">
        <v>300</v>
      </c>
      <c r="F134" s="78">
        <f>SUM(G134/5)</f>
        <v>831.8</v>
      </c>
      <c r="G134" s="51">
        <v>4159</v>
      </c>
      <c r="H134" s="119"/>
      <c r="I134" s="69"/>
      <c r="J134" s="142"/>
      <c r="K134" s="138"/>
      <c r="L134" s="69"/>
      <c r="M134" s="69"/>
      <c r="N134" s="130"/>
      <c r="O134" s="69">
        <v>5</v>
      </c>
      <c r="P134" s="159" t="s">
        <v>301</v>
      </c>
    </row>
    <row r="135" spans="1:16">
      <c r="A135" s="92" t="str">
        <f t="shared" si="14"/>
        <v>Recovery - aminokyseliny  10 l</v>
      </c>
      <c r="B135" s="91" t="s">
        <v>361</v>
      </c>
      <c r="C135" s="92" t="s">
        <v>362</v>
      </c>
      <c r="D135" s="92"/>
      <c r="E135" s="69" t="s">
        <v>205</v>
      </c>
      <c r="F135" s="78">
        <f>SUM(G135/10)</f>
        <v>304.5</v>
      </c>
      <c r="G135" s="51">
        <v>3045</v>
      </c>
      <c r="I135" s="69"/>
      <c r="J135" s="142"/>
      <c r="K135" s="138"/>
      <c r="L135" s="69"/>
      <c r="M135" s="69"/>
      <c r="N135" s="130"/>
      <c r="O135" s="69">
        <v>10</v>
      </c>
      <c r="P135" s="159" t="s">
        <v>301</v>
      </c>
    </row>
    <row r="136" spans="1:16">
      <c r="A136" s="92" t="str">
        <f t="shared" si="14"/>
        <v>OneShot Turbine Reaction - aminokyseliny  1 ks</v>
      </c>
      <c r="B136" s="91" t="s">
        <v>363</v>
      </c>
      <c r="C136" s="92" t="s">
        <v>364</v>
      </c>
      <c r="D136" s="92"/>
      <c r="E136" s="69" t="s">
        <v>349</v>
      </c>
      <c r="F136" s="78">
        <f>SUM(G136/1)</f>
        <v>590</v>
      </c>
      <c r="G136" s="61">
        <v>590</v>
      </c>
      <c r="H136" s="119"/>
      <c r="I136" s="69"/>
      <c r="J136" s="142"/>
      <c r="K136" s="138"/>
      <c r="L136" s="69"/>
      <c r="M136" s="69"/>
      <c r="N136" s="130"/>
      <c r="O136" s="69">
        <v>1</v>
      </c>
      <c r="P136" s="159" t="s">
        <v>301</v>
      </c>
    </row>
    <row r="137" spans="1:16">
      <c r="A137" s="92" t="str">
        <f t="shared" si="14"/>
        <v>OneShot Pro Active  1 ks</v>
      </c>
      <c r="B137" s="91" t="s">
        <v>365</v>
      </c>
      <c r="C137" s="92" t="s">
        <v>366</v>
      </c>
      <c r="D137" s="92"/>
      <c r="E137" s="69" t="s">
        <v>349</v>
      </c>
      <c r="F137" s="78">
        <f>SUM(G137/1)</f>
        <v>590</v>
      </c>
      <c r="G137" s="61">
        <v>590</v>
      </c>
      <c r="H137" s="119"/>
      <c r="I137" s="69"/>
      <c r="J137" s="142"/>
      <c r="K137" s="133"/>
      <c r="L137" s="69"/>
      <c r="M137" s="69"/>
      <c r="N137" s="130"/>
      <c r="O137" s="69">
        <v>1</v>
      </c>
      <c r="P137" s="159" t="s">
        <v>301</v>
      </c>
    </row>
    <row r="138" spans="1:16">
      <c r="A138" s="92" t="str">
        <f t="shared" si="14"/>
        <v>OneShot Tracer  1 ks</v>
      </c>
      <c r="B138" s="91" t="s">
        <v>367</v>
      </c>
      <c r="C138" s="92" t="s">
        <v>368</v>
      </c>
      <c r="D138" s="92"/>
      <c r="E138" s="69" t="s">
        <v>349</v>
      </c>
      <c r="F138" s="78">
        <f>SUM(G138/1)</f>
        <v>590</v>
      </c>
      <c r="G138" s="61">
        <v>590</v>
      </c>
      <c r="H138" s="119"/>
      <c r="I138" s="69"/>
      <c r="J138" s="142"/>
      <c r="K138" s="133"/>
      <c r="L138" s="69"/>
      <c r="M138" s="69"/>
      <c r="N138" s="130"/>
      <c r="O138" s="69">
        <v>1</v>
      </c>
      <c r="P138" s="159" t="s">
        <v>301</v>
      </c>
    </row>
    <row r="139" spans="1:16">
      <c r="A139" s="92" t="str">
        <f t="shared" si="14"/>
        <v>OneShot Optic Spray Dye  1 ks</v>
      </c>
      <c r="B139" s="91" t="s">
        <v>369</v>
      </c>
      <c r="C139" s="92" t="s">
        <v>370</v>
      </c>
      <c r="D139" s="92"/>
      <c r="E139" s="69" t="s">
        <v>349</v>
      </c>
      <c r="F139" s="78">
        <f>SUM(G139/1)</f>
        <v>590</v>
      </c>
      <c r="G139" s="61">
        <v>590</v>
      </c>
      <c r="H139" s="119"/>
      <c r="I139" s="69"/>
      <c r="J139" s="142"/>
      <c r="K139" s="133"/>
      <c r="L139" s="69"/>
      <c r="M139" s="69"/>
      <c r="N139" s="130"/>
      <c r="O139" s="69">
        <v>1</v>
      </c>
      <c r="P139" s="159" t="s">
        <v>301</v>
      </c>
    </row>
    <row r="140" spans="1:16">
      <c r="A140" s="92" t="str">
        <f t="shared" si="14"/>
        <v>OneShot Humik  1 ks</v>
      </c>
      <c r="B140" s="91" t="s">
        <v>371</v>
      </c>
      <c r="C140" s="92" t="s">
        <v>372</v>
      </c>
      <c r="D140" s="92"/>
      <c r="E140" s="69" t="s">
        <v>349</v>
      </c>
      <c r="F140" s="78">
        <f>SUM(G140/1)</f>
        <v>590</v>
      </c>
      <c r="G140" s="61">
        <v>590</v>
      </c>
      <c r="H140" s="119"/>
      <c r="I140" s="69"/>
      <c r="J140" s="142"/>
      <c r="K140" s="133"/>
      <c r="L140" s="69"/>
      <c r="M140" s="69"/>
      <c r="N140" s="130"/>
      <c r="O140" s="69">
        <v>1</v>
      </c>
      <c r="P140" s="159" t="s">
        <v>301</v>
      </c>
    </row>
    <row r="141" spans="1:16">
      <c r="A141" s="92" t="str">
        <f t="shared" si="14"/>
        <v>Humastar **  10 l</v>
      </c>
      <c r="B141" s="91" t="s">
        <v>373</v>
      </c>
      <c r="C141" s="126" t="s">
        <v>374</v>
      </c>
      <c r="D141" s="92"/>
      <c r="E141" s="69" t="s">
        <v>205</v>
      </c>
      <c r="F141" s="78">
        <v>320</v>
      </c>
      <c r="G141" s="61">
        <v>3200</v>
      </c>
      <c r="H141" s="119"/>
      <c r="I141" s="69"/>
      <c r="J141" s="142"/>
      <c r="K141" s="133"/>
      <c r="L141" s="69"/>
      <c r="M141" s="69"/>
      <c r="N141" s="130"/>
      <c r="O141" s="69">
        <v>10</v>
      </c>
      <c r="P141" s="159" t="s">
        <v>301</v>
      </c>
    </row>
    <row r="142" spans="1:16">
      <c r="B142" s="140" t="s">
        <v>375</v>
      </c>
      <c r="C142" s="127"/>
      <c r="D142" s="128"/>
      <c r="E142" s="128"/>
      <c r="F142" s="119"/>
      <c r="G142" s="60"/>
      <c r="H142" s="60"/>
      <c r="J142" s="67"/>
      <c r="K142" s="115"/>
    </row>
    <row r="143" spans="1:16">
      <c r="B143" s="115"/>
      <c r="C143" s="127"/>
      <c r="D143" s="128"/>
      <c r="E143" s="128"/>
      <c r="F143" s="119"/>
      <c r="G143" s="60"/>
      <c r="H143" s="60"/>
      <c r="J143" s="67"/>
      <c r="K143" s="115"/>
    </row>
    <row r="144" spans="1:16">
      <c r="H144" s="60"/>
      <c r="J144" s="67"/>
      <c r="K144" s="115"/>
    </row>
  </sheetData>
  <mergeCells count="12">
    <mergeCell ref="P101:R101"/>
    <mergeCell ref="P102:R102"/>
    <mergeCell ref="P96:R96"/>
    <mergeCell ref="P97:R97"/>
    <mergeCell ref="P98:R98"/>
    <mergeCell ref="P99:R99"/>
    <mergeCell ref="P100:R100"/>
    <mergeCell ref="I3:N3"/>
    <mergeCell ref="O3:O4"/>
    <mergeCell ref="P93:R93"/>
    <mergeCell ref="P94:R94"/>
    <mergeCell ref="P95:R95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5</vt:i4>
      </vt:variant>
    </vt:vector>
  </HeadingPairs>
  <TitlesOfParts>
    <vt:vector size="8" baseType="lpstr">
      <vt:lpstr>Hlavní hřiště</vt:lpstr>
      <vt:lpstr>Tréninkové hřiště</vt:lpstr>
      <vt:lpstr>Podklad dle ceníku 2024</vt:lpstr>
      <vt:lpstr>cis_hnojiva</vt:lpstr>
      <vt:lpstr>'Hlavní hřiště'!Oblast_tisku</vt:lpstr>
      <vt:lpstr>PodkladDleCeniku</vt:lpstr>
      <vt:lpstr>'Hlavní hřiště'!Print_Area</vt:lpstr>
      <vt:lpstr>'Tréninkové hřiště'!Print_Area</vt:lpstr>
    </vt:vector>
  </TitlesOfParts>
  <Company>Eric Schweizer Samen AG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KernelOS</cp:lastModifiedBy>
  <cp:lastPrinted>2019-04-09T05:52:10Z</cp:lastPrinted>
  <dcterms:created xsi:type="dcterms:W3CDTF">2002-01-15T13:16:16Z</dcterms:created>
  <dcterms:modified xsi:type="dcterms:W3CDTF">2025-02-26T05:04:05Z</dcterms:modified>
</cp:coreProperties>
</file>